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CALIDAD04\Documents\DOCUMENTOS DE APOYO CALIDAD\2023\PAGINA WEB\PLANEACIÓN\"/>
    </mc:Choice>
  </mc:AlternateContent>
  <xr:revisionPtr revIDLastSave="0" documentId="8_{6B5B0070-7E1F-439F-9632-B89A6159297D}" xr6:coauthVersionLast="47" xr6:coauthVersionMax="47" xr10:uidLastSave="{00000000-0000-0000-0000-000000000000}"/>
  <bookViews>
    <workbookView xWindow="-120" yWindow="-120" windowWidth="29040" windowHeight="15840" tabRatio="776" firstSheet="1" activeTab="3" xr2:uid="{00000000-000D-0000-FFFF-FFFF00000000}"/>
  </bookViews>
  <sheets>
    <sheet name="POA INST" sheetId="1" state="hidden" r:id="rId1"/>
    <sheet name="Instructivo Evaluación" sheetId="55" r:id="rId2"/>
    <sheet name="PLAN DESARROLLO" sheetId="30" r:id="rId3"/>
    <sheet name="PROGRAMAS ESTRATEGICOS" sheetId="50" r:id="rId4"/>
    <sheet name="Despliegue POA" sheetId="29" state="hidden" r:id="rId5"/>
    <sheet name="Programa Humanizacion" sheetId="28" r:id="rId6"/>
    <sheet name="Modelo Atención" sheetId="32" r:id="rId7"/>
    <sheet name="Acreditación" sheetId="35" r:id="rId8"/>
    <sheet name="Seguridad Paciente" sheetId="34" r:id="rId9"/>
    <sheet name="Alta Complejidad" sheetId="33" r:id="rId10"/>
    <sheet name="PEGIF" sheetId="36" r:id="rId11"/>
    <sheet name="Costos" sheetId="37" r:id="rId12"/>
    <sheet name="Prevención Daño Ant" sheetId="47" r:id="rId13"/>
    <sheet name="MIPG" sheetId="38" r:id="rId14"/>
    <sheet name="Integración SI" sheetId="48" r:id="rId15"/>
    <sheet name="Construcción-Adecuación" sheetId="49" r:id="rId16"/>
    <sheet name="Gestión Tecnología" sheetId="51" r:id="rId17"/>
    <sheet name="PEGITH" sheetId="52" r:id="rId18"/>
    <sheet name="ISO 140012015" sheetId="39" r:id="rId19"/>
    <sheet name="ISO 450012018" sheetId="40" r:id="rId20"/>
    <sheet name="ISO 90012015" sheetId="54" r:id="rId21"/>
    <sheet name="BPE - BPM" sheetId="41" r:id="rId22"/>
    <sheet name="BPM" sheetId="42" state="hidden" r:id="rId23"/>
    <sheet name="Gestion Investigación" sheetId="43" r:id="rId24"/>
    <sheet name="Hoja2" sheetId="56" state="hidden" r:id="rId25"/>
    <sheet name="Líneas Investigación" sheetId="44" state="hidden" r:id="rId26"/>
    <sheet name="Congresos" sheetId="45" state="hidden" r:id="rId27"/>
    <sheet name="Alianzas Estratégicas" sheetId="46" state="hidden" r:id="rId28"/>
  </sheets>
  <externalReferences>
    <externalReference r:id="rId29"/>
  </externalReferences>
  <definedNames>
    <definedName name="_xlnm.Print_Area" localSheetId="4">'Despliegue POA'!$A$1:$AA$40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 i="34" l="1"/>
  <c r="R7" i="28"/>
  <c r="AO7" i="28" s="1"/>
  <c r="AF7" i="38" l="1"/>
  <c r="W8" i="38"/>
  <c r="X8" i="38"/>
  <c r="Y8" i="38"/>
  <c r="Z8" i="38"/>
  <c r="AA8" i="38"/>
  <c r="F10" i="50" l="1"/>
  <c r="N12" i="28" l="1"/>
  <c r="O12" i="28"/>
  <c r="T12" i="28"/>
  <c r="U12" i="28"/>
  <c r="V12" i="28"/>
  <c r="Z9" i="34" l="1"/>
  <c r="Z8" i="34"/>
  <c r="Z7" i="34"/>
  <c r="AI7" i="33" l="1"/>
  <c r="AY23" i="36" l="1"/>
  <c r="BC23" i="36" s="1"/>
  <c r="AY12" i="36"/>
  <c r="BC12" i="36" s="1"/>
  <c r="V12" i="36" l="1"/>
  <c r="AZ12" i="36" s="1"/>
  <c r="AY19" i="36"/>
  <c r="BC19" i="36" s="1"/>
  <c r="V18" i="36"/>
  <c r="AZ18" i="36" s="1"/>
  <c r="F18" i="28" l="1"/>
  <c r="F17" i="28"/>
  <c r="F16" i="28"/>
  <c r="F15" i="28"/>
  <c r="G20" i="43" l="1"/>
  <c r="G19" i="43"/>
  <c r="G18" i="43"/>
  <c r="AF11" i="43"/>
  <c r="AF10" i="43"/>
  <c r="AE11" i="43"/>
  <c r="AE10" i="43"/>
  <c r="AD10" i="43"/>
  <c r="X8" i="43"/>
  <c r="AE8" i="43" s="1"/>
  <c r="X9" i="43"/>
  <c r="AE9" i="43" s="1"/>
  <c r="X10" i="43"/>
  <c r="X11" i="43"/>
  <c r="U26" i="43" s="1"/>
  <c r="X12" i="43"/>
  <c r="X13" i="43"/>
  <c r="X7" i="43"/>
  <c r="AB11" i="43"/>
  <c r="Z20" i="43"/>
  <c r="AB10" i="43"/>
  <c r="AB8" i="43"/>
  <c r="AF8" i="43" s="1"/>
  <c r="U25" i="43"/>
  <c r="T10" i="43"/>
  <c r="AB9" i="43"/>
  <c r="Z19" i="43" s="1"/>
  <c r="AB12" i="43"/>
  <c r="AB13" i="43"/>
  <c r="T8" i="43"/>
  <c r="AD8" i="43" s="1"/>
  <c r="T12" i="43"/>
  <c r="T13" i="43"/>
  <c r="P10" i="43"/>
  <c r="AC10" i="43" s="1"/>
  <c r="AF9" i="43" l="1"/>
  <c r="M14" i="43"/>
  <c r="P13" i="43"/>
  <c r="P12" i="43"/>
  <c r="P11" i="43"/>
  <c r="P9" i="43"/>
  <c r="P8" i="43"/>
  <c r="AC8" i="43" s="1"/>
  <c r="P7" i="43"/>
  <c r="AC7" i="43" s="1"/>
  <c r="AD8" i="41"/>
  <c r="AB8" i="41"/>
  <c r="AF8" i="41" s="1"/>
  <c r="X8" i="41"/>
  <c r="AE8" i="41" s="1"/>
  <c r="T8" i="41"/>
  <c r="P8" i="41"/>
  <c r="AC8" i="41" s="1"/>
  <c r="M9" i="41"/>
  <c r="P7" i="41"/>
  <c r="O9" i="54"/>
  <c r="N9" i="54"/>
  <c r="M9" i="54"/>
  <c r="P8" i="54"/>
  <c r="AC8" i="54" s="1"/>
  <c r="P7" i="54"/>
  <c r="P9" i="54" s="1"/>
  <c r="O8" i="40"/>
  <c r="N8" i="40"/>
  <c r="M8" i="40"/>
  <c r="P7" i="40"/>
  <c r="P8" i="40" s="1"/>
  <c r="M8" i="39"/>
  <c r="P7" i="39"/>
  <c r="P8" i="39" s="1"/>
  <c r="AB14" i="52"/>
  <c r="AF14" i="52" s="1"/>
  <c r="AB7" i="52"/>
  <c r="Y33" i="52" s="1"/>
  <c r="AC33" i="52" s="1"/>
  <c r="AB8" i="52"/>
  <c r="AF8" i="52" s="1"/>
  <c r="AB9" i="52"/>
  <c r="AF9" i="52" s="1"/>
  <c r="AB10" i="52"/>
  <c r="AF10" i="52" s="1"/>
  <c r="AB11" i="52"/>
  <c r="AB12" i="52"/>
  <c r="AF12" i="52" s="1"/>
  <c r="AB13" i="52"/>
  <c r="AF13" i="52" s="1"/>
  <c r="AB15" i="52"/>
  <c r="AB16" i="52"/>
  <c r="AB17" i="52"/>
  <c r="X8" i="52"/>
  <c r="AE8" i="52" s="1"/>
  <c r="X9" i="52"/>
  <c r="AE9" i="52" s="1"/>
  <c r="X10" i="52"/>
  <c r="AE10" i="52" s="1"/>
  <c r="X11" i="52"/>
  <c r="X12" i="52"/>
  <c r="AE12" i="52" s="1"/>
  <c r="X13" i="52"/>
  <c r="AE13" i="52" s="1"/>
  <c r="X14" i="52"/>
  <c r="AE14" i="52" s="1"/>
  <c r="X15" i="52"/>
  <c r="X16" i="52"/>
  <c r="X17" i="52"/>
  <c r="T8" i="52"/>
  <c r="AD8" i="52" s="1"/>
  <c r="T9" i="52"/>
  <c r="AD9" i="52" s="1"/>
  <c r="T10" i="52"/>
  <c r="AD10" i="52" s="1"/>
  <c r="T11" i="52"/>
  <c r="T12" i="52"/>
  <c r="AD12" i="52" s="1"/>
  <c r="T13" i="52"/>
  <c r="AD13" i="52" s="1"/>
  <c r="T14" i="52"/>
  <c r="AD14" i="52" s="1"/>
  <c r="T15" i="52"/>
  <c r="T16" i="52"/>
  <c r="T17" i="52"/>
  <c r="P8" i="52"/>
  <c r="AC8" i="52" s="1"/>
  <c r="P9" i="52"/>
  <c r="AC9" i="52" s="1"/>
  <c r="P10" i="52"/>
  <c r="AC10" i="52" s="1"/>
  <c r="P11" i="52"/>
  <c r="AC11" i="52" s="1"/>
  <c r="P12" i="52"/>
  <c r="AC12" i="52" s="1"/>
  <c r="P13" i="52"/>
  <c r="AC13" i="52" s="1"/>
  <c r="P14" i="52"/>
  <c r="AC14" i="52" s="1"/>
  <c r="P15" i="52"/>
  <c r="AC15" i="52" s="1"/>
  <c r="P16" i="52"/>
  <c r="AC16" i="52" s="1"/>
  <c r="P17" i="52"/>
  <c r="AC17" i="52" s="1"/>
  <c r="AC7" i="40" l="1"/>
  <c r="AG8" i="41"/>
  <c r="P9" i="41"/>
  <c r="AC7" i="41"/>
  <c r="AC7" i="39"/>
  <c r="AC7" i="54"/>
  <c r="AC11" i="43"/>
  <c r="M20" i="43"/>
  <c r="M19" i="43"/>
  <c r="W25" i="43" s="1"/>
  <c r="AC9" i="43"/>
  <c r="M18" i="43"/>
  <c r="W24" i="43" s="1"/>
  <c r="R19" i="43"/>
  <c r="P14" i="43"/>
  <c r="AG13" i="52"/>
  <c r="AG9" i="52"/>
  <c r="AG14" i="52"/>
  <c r="AG8" i="52"/>
  <c r="AG12" i="52"/>
  <c r="N19" i="43" l="1"/>
  <c r="O19" i="43" s="1"/>
  <c r="W26" i="43"/>
  <c r="R20" i="43"/>
  <c r="N20" i="43"/>
  <c r="O20" i="43" s="1"/>
  <c r="R18" i="43"/>
  <c r="N18" i="43"/>
  <c r="O18" i="43" s="1"/>
  <c r="O21" i="43" s="1"/>
  <c r="M18" i="52"/>
  <c r="M23" i="52"/>
  <c r="P7" i="52"/>
  <c r="P10" i="51"/>
  <c r="O10" i="51"/>
  <c r="N10" i="51"/>
  <c r="M10" i="51"/>
  <c r="S9" i="51"/>
  <c r="M16" i="51" s="1"/>
  <c r="N16" i="51" s="1"/>
  <c r="O16" i="51" s="1"/>
  <c r="S8" i="51"/>
  <c r="M15" i="51" s="1"/>
  <c r="N15" i="51" s="1"/>
  <c r="O15" i="51" s="1"/>
  <c r="S7" i="51"/>
  <c r="M14" i="51" s="1"/>
  <c r="N14" i="51" s="1"/>
  <c r="O14" i="51" s="1"/>
  <c r="M12" i="49"/>
  <c r="P11" i="49"/>
  <c r="AC11" i="49" s="1"/>
  <c r="P10" i="49"/>
  <c r="M18" i="49" s="1"/>
  <c r="N18" i="49" s="1"/>
  <c r="O18" i="49" s="1"/>
  <c r="P9" i="49"/>
  <c r="M17" i="49" s="1"/>
  <c r="N17" i="49" s="1"/>
  <c r="O17" i="49" s="1"/>
  <c r="P8" i="49"/>
  <c r="M16" i="49" s="1"/>
  <c r="N16" i="49" s="1"/>
  <c r="P7" i="49"/>
  <c r="M10" i="48"/>
  <c r="P9" i="48"/>
  <c r="M16" i="48" s="1"/>
  <c r="N16" i="48" s="1"/>
  <c r="O16" i="48" s="1"/>
  <c r="P8" i="48"/>
  <c r="M15" i="48" s="1"/>
  <c r="N15" i="48" s="1"/>
  <c r="O15" i="48" s="1"/>
  <c r="P7" i="48"/>
  <c r="AB8" i="38"/>
  <c r="V8" i="38"/>
  <c r="U8" i="38"/>
  <c r="T8" i="38"/>
  <c r="S8" i="38"/>
  <c r="R8" i="38"/>
  <c r="Q8" i="38"/>
  <c r="P8" i="38"/>
  <c r="O8" i="38"/>
  <c r="N8" i="38"/>
  <c r="M8" i="38"/>
  <c r="AF8" i="38"/>
  <c r="S26" i="36"/>
  <c r="R26" i="36"/>
  <c r="Q26" i="36"/>
  <c r="P26" i="36"/>
  <c r="O26" i="36"/>
  <c r="N26" i="36"/>
  <c r="V24" i="36"/>
  <c r="AZ24" i="36" s="1"/>
  <c r="V23" i="36"/>
  <c r="AZ23" i="36" s="1"/>
  <c r="V22" i="36"/>
  <c r="AZ22" i="36" s="1"/>
  <c r="V21" i="36"/>
  <c r="AZ21" i="36" s="1"/>
  <c r="V20" i="36"/>
  <c r="AZ20" i="36" s="1"/>
  <c r="V19" i="36"/>
  <c r="AZ19" i="36" s="1"/>
  <c r="V17" i="36"/>
  <c r="AZ17" i="36" s="1"/>
  <c r="V16" i="36"/>
  <c r="AZ16" i="36" s="1"/>
  <c r="V15" i="36"/>
  <c r="AZ15" i="36" s="1"/>
  <c r="V14" i="36"/>
  <c r="V13" i="36"/>
  <c r="V11" i="36"/>
  <c r="AZ11" i="36" s="1"/>
  <c r="V10" i="36"/>
  <c r="AZ10" i="36" s="1"/>
  <c r="V9" i="36"/>
  <c r="AZ9" i="36" s="1"/>
  <c r="V8" i="36"/>
  <c r="AZ8" i="36" s="1" a="1"/>
  <c r="AZ8" i="36" s="1"/>
  <c r="V7" i="36"/>
  <c r="M11" i="47"/>
  <c r="P10" i="47"/>
  <c r="P9" i="47"/>
  <c r="M18" i="47" s="1"/>
  <c r="R18" i="47" s="1"/>
  <c r="P8" i="47"/>
  <c r="M17" i="47" s="1"/>
  <c r="R17" i="47" s="1"/>
  <c r="P7" i="47"/>
  <c r="AC7" i="47" s="1"/>
  <c r="M10" i="37"/>
  <c r="P9" i="37"/>
  <c r="P8" i="37"/>
  <c r="P7" i="37"/>
  <c r="AP16" i="36"/>
  <c r="AP17" i="36"/>
  <c r="BB17" i="36" s="1"/>
  <c r="AP18" i="36"/>
  <c r="BB18" i="36" s="1"/>
  <c r="AP19" i="36"/>
  <c r="BB19" i="36" s="1"/>
  <c r="AP20" i="36"/>
  <c r="AP21" i="36"/>
  <c r="BB21" i="36" s="1"/>
  <c r="AP22" i="36"/>
  <c r="BB22" i="36" s="1"/>
  <c r="AP23" i="36"/>
  <c r="BB23" i="36" s="1"/>
  <c r="AP24" i="36"/>
  <c r="AP25" i="36"/>
  <c r="BB25" i="36" s="1"/>
  <c r="M14" i="48" l="1"/>
  <c r="N14" i="48" s="1"/>
  <c r="O14" i="48" s="1"/>
  <c r="O17" i="48" s="1"/>
  <c r="AC7" i="48"/>
  <c r="M19" i="47"/>
  <c r="W19" i="47" s="1"/>
  <c r="AC10" i="47"/>
  <c r="W27" i="52"/>
  <c r="AB34" i="52"/>
  <c r="AD9" i="37"/>
  <c r="AC9" i="37"/>
  <c r="AD7" i="37"/>
  <c r="AC7" i="37"/>
  <c r="CJ7" i="38"/>
  <c r="AD8" i="37"/>
  <c r="AC8" i="37"/>
  <c r="V25" i="36"/>
  <c r="AZ25" i="36" s="1"/>
  <c r="AZ7" i="36"/>
  <c r="M15" i="49"/>
  <c r="Z15" i="49" s="1"/>
  <c r="AC7" i="49"/>
  <c r="AE17" i="47"/>
  <c r="AC8" i="47"/>
  <c r="AE19" i="47"/>
  <c r="AC9" i="47"/>
  <c r="AE18" i="47"/>
  <c r="Z16" i="49"/>
  <c r="AO9" i="51"/>
  <c r="AO8" i="51"/>
  <c r="AO7" i="51"/>
  <c r="N23" i="52"/>
  <c r="O23" i="52" s="1"/>
  <c r="R23" i="52"/>
  <c r="P18" i="52"/>
  <c r="AC7" i="52"/>
  <c r="M22" i="52"/>
  <c r="O17" i="51"/>
  <c r="S10" i="51"/>
  <c r="M19" i="49"/>
  <c r="N19" i="49" s="1"/>
  <c r="O19" i="49" s="1"/>
  <c r="Z17" i="49"/>
  <c r="Z18" i="49"/>
  <c r="AC9" i="49"/>
  <c r="AC8" i="49"/>
  <c r="AC10" i="49"/>
  <c r="N15" i="49"/>
  <c r="O15" i="49" s="1"/>
  <c r="O16" i="49"/>
  <c r="W18" i="47"/>
  <c r="R19" i="47"/>
  <c r="P11" i="47"/>
  <c r="W17" i="47"/>
  <c r="M16" i="47"/>
  <c r="AE16" i="47" s="1"/>
  <c r="CZ28" i="33"/>
  <c r="CZ32" i="33"/>
  <c r="CY31" i="33"/>
  <c r="CW32" i="33"/>
  <c r="CW31" i="33"/>
  <c r="CW30" i="33"/>
  <c r="CW29" i="33"/>
  <c r="CW28" i="33"/>
  <c r="CW27" i="33"/>
  <c r="CW26" i="33"/>
  <c r="CW25" i="33"/>
  <c r="CW23" i="33"/>
  <c r="CW22" i="33"/>
  <c r="CW21" i="33"/>
  <c r="CW20" i="33"/>
  <c r="CW19" i="33"/>
  <c r="CW17" i="33"/>
  <c r="CW16" i="33"/>
  <c r="CW15" i="33"/>
  <c r="CW14" i="33"/>
  <c r="CW13" i="33"/>
  <c r="BY32" i="33"/>
  <c r="BY31" i="33"/>
  <c r="CZ31" i="33" s="1"/>
  <c r="BY30" i="33"/>
  <c r="CZ30" i="33" s="1"/>
  <c r="BY29" i="33"/>
  <c r="CZ29" i="33" s="1"/>
  <c r="BY28" i="33"/>
  <c r="BW8" i="33"/>
  <c r="CW24" i="33"/>
  <c r="CW18" i="33"/>
  <c r="CQ8" i="33"/>
  <c r="CP8" i="33"/>
  <c r="CO8" i="33"/>
  <c r="CN8" i="33"/>
  <c r="CM8" i="33"/>
  <c r="CL8" i="33"/>
  <c r="CK8" i="33"/>
  <c r="CJ8" i="33"/>
  <c r="CI8" i="33"/>
  <c r="CH8" i="33"/>
  <c r="CG8" i="33"/>
  <c r="CF8" i="33"/>
  <c r="CE8" i="33"/>
  <c r="CD8" i="33"/>
  <c r="BB32" i="33"/>
  <c r="CY32" i="33" s="1"/>
  <c r="BB31" i="33"/>
  <c r="CA31" i="33" s="1"/>
  <c r="BB30" i="33"/>
  <c r="CA30" i="33" s="1"/>
  <c r="BB29" i="33"/>
  <c r="CA29" i="33" s="1"/>
  <c r="BB28" i="33"/>
  <c r="CA28" i="33" s="1"/>
  <c r="BB27" i="33"/>
  <c r="BB26" i="33"/>
  <c r="CA26" i="33" s="1"/>
  <c r="BB25" i="33"/>
  <c r="CA25" i="33" s="1"/>
  <c r="BB24" i="33"/>
  <c r="BB23" i="33"/>
  <c r="BB22" i="33"/>
  <c r="CA22" i="33" s="1"/>
  <c r="BB21" i="33"/>
  <c r="BB20" i="33"/>
  <c r="BB19" i="33"/>
  <c r="BB18" i="33"/>
  <c r="BB17" i="33"/>
  <c r="BB16" i="33"/>
  <c r="BB15" i="33"/>
  <c r="BB14" i="33"/>
  <c r="CA14" i="33" s="1"/>
  <c r="BB13" i="33"/>
  <c r="CA13" i="33" s="1"/>
  <c r="AE32" i="33"/>
  <c r="BC32" i="33" s="1"/>
  <c r="AE31" i="33"/>
  <c r="AF31" i="33" s="1"/>
  <c r="AG31" i="33" s="1"/>
  <c r="AE30" i="33"/>
  <c r="AF30" i="33" s="1"/>
  <c r="AG30" i="33" s="1"/>
  <c r="AE29" i="33"/>
  <c r="AF29" i="33" s="1"/>
  <c r="AG29" i="33" s="1"/>
  <c r="AE28" i="33"/>
  <c r="AF28" i="33" s="1"/>
  <c r="AG28" i="33" s="1"/>
  <c r="AE27" i="33"/>
  <c r="AF27" i="33" s="1"/>
  <c r="AG27" i="33" s="1"/>
  <c r="AE26" i="33"/>
  <c r="AF26" i="33" s="1"/>
  <c r="AG26" i="33" s="1"/>
  <c r="AE25" i="33"/>
  <c r="AF25" i="33" s="1"/>
  <c r="AG25" i="33" s="1"/>
  <c r="AE24" i="33"/>
  <c r="AF24" i="33" s="1"/>
  <c r="AG24" i="33" s="1"/>
  <c r="AE23" i="33"/>
  <c r="AF23" i="33" s="1"/>
  <c r="AG23" i="33" s="1"/>
  <c r="AE22" i="33"/>
  <c r="AF22" i="33" s="1"/>
  <c r="AG22" i="33" s="1"/>
  <c r="AE21" i="33"/>
  <c r="AF21" i="33" s="1"/>
  <c r="AG21" i="33" s="1"/>
  <c r="AE20" i="33"/>
  <c r="BC20" i="33" s="1"/>
  <c r="AE19" i="33"/>
  <c r="AF19" i="33" s="1"/>
  <c r="AG19" i="33" s="1"/>
  <c r="AE18" i="33"/>
  <c r="AF18" i="33" s="1"/>
  <c r="AG18" i="33" s="1"/>
  <c r="AE17" i="33"/>
  <c r="BC17" i="33" s="1"/>
  <c r="AE16" i="33"/>
  <c r="AF16" i="33" s="1"/>
  <c r="AG16" i="33" s="1"/>
  <c r="AE15" i="33"/>
  <c r="AF15" i="33" s="1"/>
  <c r="AG15" i="33" s="1"/>
  <c r="AE14" i="33"/>
  <c r="AF14" i="33" s="1"/>
  <c r="AG14" i="33" s="1"/>
  <c r="AE13" i="33"/>
  <c r="AF13" i="33" s="1"/>
  <c r="AG13" i="33" s="1"/>
  <c r="BY26" i="33"/>
  <c r="BY25" i="33"/>
  <c r="BY24" i="33"/>
  <c r="BY23" i="33"/>
  <c r="BY22" i="33"/>
  <c r="BY21" i="33"/>
  <c r="BY20" i="33"/>
  <c r="BY19" i="33"/>
  <c r="BY18" i="33"/>
  <c r="BY17" i="33"/>
  <c r="BY16" i="33"/>
  <c r="BY15" i="33"/>
  <c r="BY14" i="33"/>
  <c r="BY13" i="33"/>
  <c r="BY27" i="33"/>
  <c r="L33" i="33"/>
  <c r="AD8" i="33"/>
  <c r="AC8" i="33"/>
  <c r="AB8" i="33"/>
  <c r="AA8" i="33"/>
  <c r="Z8" i="33"/>
  <c r="Y8" i="33"/>
  <c r="X8" i="33"/>
  <c r="W8" i="33"/>
  <c r="V8" i="33"/>
  <c r="U8" i="33"/>
  <c r="T8" i="33"/>
  <c r="S8" i="33"/>
  <c r="R8" i="33"/>
  <c r="Q8" i="33"/>
  <c r="P8" i="33"/>
  <c r="O8" i="33"/>
  <c r="N8" i="33"/>
  <c r="M8" i="33"/>
  <c r="AI8" i="33"/>
  <c r="BB10" i="34"/>
  <c r="AO19" i="34" s="1"/>
  <c r="L16" i="34"/>
  <c r="W11" i="34"/>
  <c r="V11" i="34"/>
  <c r="U11" i="34"/>
  <c r="T11" i="34"/>
  <c r="S11" i="34"/>
  <c r="R11" i="34"/>
  <c r="Q11" i="34"/>
  <c r="P11" i="34"/>
  <c r="O11" i="34"/>
  <c r="N11" i="34"/>
  <c r="M11" i="34"/>
  <c r="M19" i="34"/>
  <c r="N19" i="34" s="1"/>
  <c r="M18" i="34"/>
  <c r="N18" i="34" s="1"/>
  <c r="M17" i="34"/>
  <c r="N17" i="34" s="1"/>
  <c r="M16" i="34"/>
  <c r="AB16" i="34" s="1"/>
  <c r="M8" i="35"/>
  <c r="P7" i="35"/>
  <c r="P8" i="35" s="1"/>
  <c r="M17" i="32"/>
  <c r="N17" i="32" s="1"/>
  <c r="M16" i="32"/>
  <c r="N16" i="32" s="1"/>
  <c r="M15" i="32"/>
  <c r="N15" i="32" s="1"/>
  <c r="M14" i="32"/>
  <c r="N14" i="32" s="1"/>
  <c r="M13" i="32"/>
  <c r="N13" i="32" s="1"/>
  <c r="M12" i="32"/>
  <c r="N12" i="32" s="1"/>
  <c r="M11" i="32"/>
  <c r="Y11" i="32" s="1"/>
  <c r="S8" i="32"/>
  <c r="R8" i="32"/>
  <c r="Q8" i="32"/>
  <c r="P8" i="32"/>
  <c r="O8" i="32"/>
  <c r="N8" i="32"/>
  <c r="M8" i="32"/>
  <c r="V7" i="32"/>
  <c r="V8" i="32" s="1"/>
  <c r="K18" i="28"/>
  <c r="K17" i="28"/>
  <c r="K16" i="28"/>
  <c r="K15" i="28"/>
  <c r="L15" i="28"/>
  <c r="AO11" i="28"/>
  <c r="M12" i="28"/>
  <c r="R10" i="28"/>
  <c r="M18" i="28" s="1"/>
  <c r="R9" i="28"/>
  <c r="M17" i="28" s="1"/>
  <c r="R8" i="28"/>
  <c r="M16" i="28" s="1"/>
  <c r="M15" i="28"/>
  <c r="N15" i="28" s="1"/>
  <c r="CX29" i="33" l="1"/>
  <c r="CX15" i="33"/>
  <c r="N17" i="28"/>
  <c r="T15" i="28"/>
  <c r="AO8" i="28"/>
  <c r="AH18" i="28"/>
  <c r="AH15" i="28"/>
  <c r="BD19" i="34"/>
  <c r="BP10" i="34"/>
  <c r="CX13" i="33"/>
  <c r="CX27" i="33"/>
  <c r="CY13" i="33"/>
  <c r="CY30" i="33"/>
  <c r="W26" i="52"/>
  <c r="AB33" i="52"/>
  <c r="AH17" i="28"/>
  <c r="BR10" i="34"/>
  <c r="CX32" i="33"/>
  <c r="DA32" i="33" s="1"/>
  <c r="DB32" i="33" s="1"/>
  <c r="CX24" i="33"/>
  <c r="BA7" i="32"/>
  <c r="CY29" i="33"/>
  <c r="DA29" i="33"/>
  <c r="AA15" i="28"/>
  <c r="CX30" i="33"/>
  <c r="CX23" i="33"/>
  <c r="CY28" i="33"/>
  <c r="BD18" i="34"/>
  <c r="BP9" i="34"/>
  <c r="BD17" i="34"/>
  <c r="BP8" i="34"/>
  <c r="BP7" i="34"/>
  <c r="BD16" i="34"/>
  <c r="CX31" i="33"/>
  <c r="DA31" i="33" s="1"/>
  <c r="CX28" i="33"/>
  <c r="CX20" i="33"/>
  <c r="CX21" i="33"/>
  <c r="CX25" i="33"/>
  <c r="CX26" i="33"/>
  <c r="BC18" i="33"/>
  <c r="BD18" i="33" s="1"/>
  <c r="CX18" i="33"/>
  <c r="CX19" i="33"/>
  <c r="CX17" i="33"/>
  <c r="CX16" i="33"/>
  <c r="CX22" i="33"/>
  <c r="DA7" i="33"/>
  <c r="AC7" i="35"/>
  <c r="CX14" i="33"/>
  <c r="N22" i="52"/>
  <c r="O22" i="52" s="1"/>
  <c r="O24" i="52" s="1"/>
  <c r="R22" i="52"/>
  <c r="Z19" i="49"/>
  <c r="O20" i="49"/>
  <c r="R16" i="47"/>
  <c r="W16" i="47"/>
  <c r="M20" i="47"/>
  <c r="O16" i="47" s="1"/>
  <c r="BC28" i="33"/>
  <c r="BD28" i="33" s="1"/>
  <c r="BC23" i="33"/>
  <c r="BD23" i="33" s="1"/>
  <c r="BZ27" i="33"/>
  <c r="BC30" i="33"/>
  <c r="BD30" i="33" s="1"/>
  <c r="CA18" i="33"/>
  <c r="CB18" i="33" s="1"/>
  <c r="BD20" i="33"/>
  <c r="BD17" i="33"/>
  <c r="BZ23" i="33"/>
  <c r="BZ19" i="33"/>
  <c r="BZ31" i="33"/>
  <c r="BZ15" i="33"/>
  <c r="BZ28" i="33"/>
  <c r="BZ20" i="33"/>
  <c r="CA21" i="33"/>
  <c r="CB21" i="33" s="1"/>
  <c r="CA17" i="33"/>
  <c r="CB17" i="33" s="1"/>
  <c r="BZ30" i="33"/>
  <c r="BZ26" i="33"/>
  <c r="BZ22" i="33"/>
  <c r="BZ18" i="33"/>
  <c r="BZ14" i="33"/>
  <c r="CA24" i="33"/>
  <c r="CB24" i="33" s="1"/>
  <c r="CA20" i="33"/>
  <c r="CB20" i="33" s="1"/>
  <c r="CA16" i="33"/>
  <c r="CB16" i="33" s="1"/>
  <c r="CB28" i="33"/>
  <c r="BZ32" i="33"/>
  <c r="BZ24" i="33"/>
  <c r="BZ16" i="33"/>
  <c r="CB31" i="33"/>
  <c r="CC31" i="33" s="1"/>
  <c r="BZ13" i="33"/>
  <c r="CB13" i="33" s="1"/>
  <c r="BZ29" i="33"/>
  <c r="BZ25" i="33"/>
  <c r="BZ21" i="33"/>
  <c r="BZ17" i="33"/>
  <c r="CA32" i="33"/>
  <c r="CB32" i="33" s="1"/>
  <c r="CC32" i="33" s="1"/>
  <c r="CA27" i="33"/>
  <c r="CB27" i="33" s="1"/>
  <c r="CA23" i="33"/>
  <c r="CB23" i="33" s="1"/>
  <c r="CA19" i="33"/>
  <c r="CB19" i="33" s="1"/>
  <c r="CA15" i="33"/>
  <c r="CB15" i="33" s="1"/>
  <c r="BD32" i="33"/>
  <c r="BE32" i="33" s="1"/>
  <c r="CB14" i="33"/>
  <c r="CB22" i="33"/>
  <c r="CB26" i="33"/>
  <c r="CB25" i="33"/>
  <c r="CB29" i="33"/>
  <c r="CB30" i="33"/>
  <c r="BC16" i="33"/>
  <c r="BD16" i="33" s="1"/>
  <c r="AF32" i="33"/>
  <c r="AG32" i="33" s="1"/>
  <c r="AG33" i="33" s="1"/>
  <c r="BC22" i="33"/>
  <c r="BD22" i="33" s="1"/>
  <c r="BC14" i="33"/>
  <c r="BD14" i="33" s="1"/>
  <c r="AF20" i="33"/>
  <c r="AG20" i="33" s="1"/>
  <c r="BC24" i="33"/>
  <c r="BD24" i="33" s="1"/>
  <c r="BC26" i="33"/>
  <c r="BD26" i="33" s="1"/>
  <c r="BC19" i="33"/>
  <c r="BD19" i="33" s="1"/>
  <c r="BC15" i="33"/>
  <c r="BD15" i="33" s="1"/>
  <c r="BC31" i="33"/>
  <c r="BD31" i="33" s="1"/>
  <c r="BC27" i="33"/>
  <c r="BD27" i="33" s="1"/>
  <c r="AF17" i="33"/>
  <c r="AG17" i="33" s="1"/>
  <c r="BC13" i="33"/>
  <c r="BD13" i="33" s="1"/>
  <c r="BC21" i="33"/>
  <c r="BD21" i="33" s="1"/>
  <c r="BC25" i="33"/>
  <c r="BD25" i="33" s="1"/>
  <c r="BC29" i="33"/>
  <c r="BD29" i="33" s="1"/>
  <c r="AP18" i="34"/>
  <c r="AP19" i="34"/>
  <c r="AP16" i="34"/>
  <c r="AP17" i="34"/>
  <c r="AB18" i="34"/>
  <c r="AB19" i="34"/>
  <c r="AB17" i="34"/>
  <c r="N20" i="34"/>
  <c r="O16" i="34" s="1"/>
  <c r="N16" i="34"/>
  <c r="Z11" i="34"/>
  <c r="AR13" i="32"/>
  <c r="Y16" i="32"/>
  <c r="AR16" i="32"/>
  <c r="AR12" i="32"/>
  <c r="AJ13" i="32"/>
  <c r="AR17" i="32"/>
  <c r="AJ17" i="32"/>
  <c r="AR14" i="32"/>
  <c r="Y12" i="32"/>
  <c r="AR11" i="32"/>
  <c r="AR15" i="32"/>
  <c r="Y13" i="32"/>
  <c r="Y17" i="32"/>
  <c r="AJ14" i="32"/>
  <c r="Y14" i="32"/>
  <c r="AJ11" i="32"/>
  <c r="AJ15" i="32"/>
  <c r="Y15" i="32"/>
  <c r="AJ12" i="32"/>
  <c r="AJ16" i="32"/>
  <c r="M18" i="32"/>
  <c r="O11" i="32" s="1"/>
  <c r="N11" i="32"/>
  <c r="AA17" i="28"/>
  <c r="AA18" i="28"/>
  <c r="T17" i="28"/>
  <c r="T18" i="28"/>
  <c r="AO9" i="28"/>
  <c r="AO10" i="28"/>
  <c r="M19" i="28"/>
  <c r="O15" i="28" s="1"/>
  <c r="R11" i="28"/>
  <c r="N18" i="28" l="1"/>
  <c r="AA16" i="28"/>
  <c r="AH16" i="28"/>
  <c r="DA28" i="33"/>
  <c r="DA30" i="33"/>
  <c r="N16" i="28"/>
  <c r="T16" i="28"/>
  <c r="AF12" i="43" l="1"/>
  <c r="Y8" i="39" l="1"/>
  <c r="U24" i="43" l="1"/>
  <c r="AG8" i="51"/>
  <c r="X7" i="52"/>
  <c r="AE7" i="52" s="1"/>
  <c r="AP12" i="36"/>
  <c r="BB12" i="36" s="1"/>
  <c r="CZ7" i="33"/>
  <c r="DD7" i="33" s="1"/>
  <c r="CC7" i="33"/>
  <c r="DC7" i="33" s="1"/>
  <c r="CT8" i="33"/>
  <c r="AJ8" i="33"/>
  <c r="AX11" i="34" l="1"/>
  <c r="X8" i="48" l="1"/>
  <c r="AE8" i="48" s="1"/>
  <c r="BP7" i="38" l="1"/>
  <c r="BL8" i="38"/>
  <c r="AB8" i="54"/>
  <c r="AB7" i="54"/>
  <c r="BG8" i="33"/>
  <c r="BH8" i="33"/>
  <c r="BI8" i="33"/>
  <c r="BJ8" i="33"/>
  <c r="BK8" i="33"/>
  <c r="BL8" i="33"/>
  <c r="BM8" i="33"/>
  <c r="BN8" i="33"/>
  <c r="BO8" i="33"/>
  <c r="BP8" i="33"/>
  <c r="BQ8" i="33"/>
  <c r="BR8" i="33"/>
  <c r="BS8" i="33"/>
  <c r="BT8" i="33"/>
  <c r="Y7" i="28"/>
  <c r="K36" i="56" a="1"/>
  <c r="K36" i="56" s="1"/>
  <c r="K6" i="56" a="1"/>
  <c r="K6" i="56" s="1"/>
  <c r="K7" i="56" a="1"/>
  <c r="K7" i="56" s="1"/>
  <c r="K8" i="56" a="1"/>
  <c r="K8" i="56" s="1"/>
  <c r="K9" i="56" a="1"/>
  <c r="K9" i="56" s="1"/>
  <c r="K10" i="56" a="1"/>
  <c r="K10" i="56" s="1"/>
  <c r="K11" i="56" a="1"/>
  <c r="K11" i="56" s="1"/>
  <c r="K12" i="56" a="1"/>
  <c r="K12" i="56" s="1"/>
  <c r="K13" i="56" a="1"/>
  <c r="K13" i="56" s="1"/>
  <c r="K14" i="56" a="1"/>
  <c r="K14" i="56" s="1"/>
  <c r="K15" i="56" a="1"/>
  <c r="K15" i="56" s="1"/>
  <c r="K16" i="56" a="1"/>
  <c r="K16" i="56" s="1"/>
  <c r="K17" i="56" a="1"/>
  <c r="K17" i="56" s="1"/>
  <c r="K18" i="56" a="1"/>
  <c r="K18" i="56" s="1"/>
  <c r="K19" i="56" a="1"/>
  <c r="K19" i="56" s="1"/>
  <c r="K20" i="56" a="1"/>
  <c r="K20" i="56" s="1"/>
  <c r="K21" i="56" a="1"/>
  <c r="K21" i="56" s="1"/>
  <c r="K22" i="56" a="1"/>
  <c r="K22" i="56" s="1"/>
  <c r="K23" i="56" a="1"/>
  <c r="K23" i="56" s="1"/>
  <c r="K24" i="56" a="1"/>
  <c r="K24" i="56" s="1"/>
  <c r="K25" i="56" a="1"/>
  <c r="K25" i="56" s="1"/>
  <c r="K26" i="56" a="1"/>
  <c r="K26" i="56" s="1"/>
  <c r="K27" i="56" a="1"/>
  <c r="K27" i="56" s="1"/>
  <c r="K28" i="56" a="1"/>
  <c r="K28" i="56" s="1"/>
  <c r="K29" i="56" a="1"/>
  <c r="K29" i="56" s="1"/>
  <c r="K30" i="56" a="1"/>
  <c r="K30" i="56" s="1"/>
  <c r="K31" i="56" a="1"/>
  <c r="K31" i="56" s="1"/>
  <c r="K32" i="56" a="1"/>
  <c r="K32" i="56" s="1"/>
  <c r="K33" i="56" a="1"/>
  <c r="K33" i="56" s="1"/>
  <c r="K34" i="56" a="1"/>
  <c r="K34" i="56" s="1"/>
  <c r="K35" i="56" a="1"/>
  <c r="K35" i="56" s="1"/>
  <c r="K37" i="56" a="1"/>
  <c r="K37" i="56" s="1"/>
  <c r="K38" i="56" a="1"/>
  <c r="K38" i="56" s="1"/>
  <c r="K39" i="56" a="1"/>
  <c r="K39" i="56" s="1"/>
  <c r="K40" i="56" a="1"/>
  <c r="K40" i="56" s="1"/>
  <c r="K5" i="56" a="1"/>
  <c r="K5" i="56" s="1"/>
  <c r="I40" i="56" a="1"/>
  <c r="I40" i="56" s="1"/>
  <c r="I6" i="56" a="1"/>
  <c r="I6" i="56" s="1"/>
  <c r="I7" i="56" a="1"/>
  <c r="I7" i="56" s="1"/>
  <c r="I8" i="56" a="1"/>
  <c r="I8" i="56" s="1"/>
  <c r="I9" i="56" a="1"/>
  <c r="I9" i="56" s="1"/>
  <c r="I10" i="56" a="1"/>
  <c r="I10" i="56" s="1"/>
  <c r="I11" i="56" a="1"/>
  <c r="I11" i="56" s="1"/>
  <c r="I12" i="56" a="1"/>
  <c r="I12" i="56" s="1"/>
  <c r="I13" i="56" a="1"/>
  <c r="I13" i="56" s="1"/>
  <c r="I14" i="56" a="1"/>
  <c r="I14" i="56" s="1"/>
  <c r="I15" i="56" a="1"/>
  <c r="I15" i="56" s="1"/>
  <c r="I16" i="56" a="1"/>
  <c r="I16" i="56" s="1"/>
  <c r="I17" i="56" a="1"/>
  <c r="I17" i="56" s="1"/>
  <c r="I18" i="56" a="1"/>
  <c r="I18" i="56" s="1"/>
  <c r="I19" i="56" a="1"/>
  <c r="I19" i="56" s="1"/>
  <c r="I20" i="56" a="1"/>
  <c r="I20" i="56" s="1"/>
  <c r="I21" i="56" a="1"/>
  <c r="I21" i="56" s="1"/>
  <c r="I22" i="56" a="1"/>
  <c r="I22" i="56" s="1"/>
  <c r="I23" i="56" a="1"/>
  <c r="I23" i="56" s="1"/>
  <c r="I24" i="56" a="1"/>
  <c r="I24" i="56" s="1"/>
  <c r="I25" i="56" a="1"/>
  <c r="I25" i="56"/>
  <c r="I26" i="56" a="1"/>
  <c r="I26" i="56" s="1"/>
  <c r="I27" i="56" a="1"/>
  <c r="I27" i="56" s="1"/>
  <c r="I28" i="56" a="1"/>
  <c r="I28" i="56" s="1"/>
  <c r="I29" i="56" a="1"/>
  <c r="I29" i="56" s="1"/>
  <c r="I30" i="56" a="1"/>
  <c r="I30" i="56" s="1"/>
  <c r="I31" i="56" a="1"/>
  <c r="I31" i="56"/>
  <c r="I32" i="56" a="1"/>
  <c r="I32" i="56" s="1"/>
  <c r="I33" i="56" a="1"/>
  <c r="I33" i="56" s="1"/>
  <c r="I34" i="56" a="1"/>
  <c r="I34" i="56" s="1"/>
  <c r="I35" i="56" a="1"/>
  <c r="I35" i="56" s="1"/>
  <c r="I36" i="56" a="1"/>
  <c r="I36" i="56" s="1"/>
  <c r="I37" i="56" a="1"/>
  <c r="I37" i="56"/>
  <c r="I38" i="56" a="1"/>
  <c r="I38" i="56" s="1"/>
  <c r="I39" i="56" a="1"/>
  <c r="I39" i="56" s="1"/>
  <c r="I5" i="56" a="1"/>
  <c r="I5" i="56" s="1"/>
  <c r="G6" i="56" a="1"/>
  <c r="G6" i="56" s="1"/>
  <c r="G7" i="56" a="1"/>
  <c r="G7" i="56" s="1"/>
  <c r="G8" i="56" a="1"/>
  <c r="G8" i="56" s="1"/>
  <c r="G9" i="56" a="1"/>
  <c r="G9" i="56" s="1"/>
  <c r="G10" i="56" a="1"/>
  <c r="G10" i="56" s="1"/>
  <c r="G14" i="56" a="1"/>
  <c r="G14" i="56" s="1"/>
  <c r="G15" i="56" a="1"/>
  <c r="G15" i="56" s="1"/>
  <c r="G16" i="56" a="1"/>
  <c r="G16" i="56" s="1"/>
  <c r="G17" i="56" a="1"/>
  <c r="G17" i="56" s="1"/>
  <c r="G19" i="56" a="1"/>
  <c r="G19" i="56" s="1"/>
  <c r="G20" i="56" a="1"/>
  <c r="G20" i="56" s="1"/>
  <c r="G25" i="56" a="1"/>
  <c r="G25" i="56" s="1"/>
  <c r="G26" i="56" a="1"/>
  <c r="G26" i="56" s="1"/>
  <c r="G27" i="56" a="1"/>
  <c r="G27" i="56" s="1"/>
  <c r="G28" i="56" a="1"/>
  <c r="G28" i="56" s="1"/>
  <c r="G29" i="56" a="1"/>
  <c r="G29" i="56" s="1"/>
  <c r="G30" i="56" a="1"/>
  <c r="G30" i="56" s="1"/>
  <c r="G31" i="56" a="1"/>
  <c r="G31" i="56" s="1"/>
  <c r="G32" i="56" a="1"/>
  <c r="G32" i="56" s="1"/>
  <c r="G33" i="56" a="1"/>
  <c r="G33" i="56" s="1"/>
  <c r="G34" i="56" a="1"/>
  <c r="G34" i="56" s="1"/>
  <c r="G35" i="56" a="1"/>
  <c r="G35" i="56" s="1"/>
  <c r="G36" i="56" a="1"/>
  <c r="G36" i="56" s="1"/>
  <c r="G37" i="56" a="1"/>
  <c r="G37" i="56" s="1"/>
  <c r="G38" i="56" a="1"/>
  <c r="G38" i="56" s="1"/>
  <c r="G39" i="56" a="1"/>
  <c r="G39" i="56" s="1"/>
  <c r="G40" i="56" a="1"/>
  <c r="G40" i="56" s="1"/>
  <c r="G5" i="56" a="1"/>
  <c r="G5" i="56" s="1"/>
  <c r="E6" i="56" a="1"/>
  <c r="E6" i="56" s="1"/>
  <c r="E7" i="56" a="1"/>
  <c r="E7" i="56" s="1"/>
  <c r="E8" i="56" a="1"/>
  <c r="E8" i="56" s="1"/>
  <c r="E9" i="56" a="1"/>
  <c r="E9" i="56" s="1"/>
  <c r="E10" i="56" a="1"/>
  <c r="E10" i="56" s="1"/>
  <c r="E11" i="56" a="1"/>
  <c r="E11" i="56" s="1"/>
  <c r="E13" i="56" a="1"/>
  <c r="E13" i="56" s="1"/>
  <c r="E14" i="56" a="1"/>
  <c r="E14" i="56" s="1"/>
  <c r="E15" i="56" a="1"/>
  <c r="E15" i="56" s="1"/>
  <c r="E16" i="56" a="1"/>
  <c r="E16" i="56" s="1"/>
  <c r="E17" i="56" a="1"/>
  <c r="E17" i="56" s="1"/>
  <c r="E19" i="56" a="1"/>
  <c r="E19" i="56" s="1"/>
  <c r="E20" i="56" a="1"/>
  <c r="E20" i="56" s="1"/>
  <c r="E25" i="56" a="1"/>
  <c r="E25" i="56" s="1"/>
  <c r="E26" i="56" a="1"/>
  <c r="E26" i="56" s="1"/>
  <c r="E27" i="56" a="1"/>
  <c r="E27" i="56" s="1"/>
  <c r="E28" i="56" a="1"/>
  <c r="E28" i="56" s="1"/>
  <c r="E29" i="56" a="1"/>
  <c r="E29" i="56" s="1"/>
  <c r="E30" i="56" a="1"/>
  <c r="E30" i="56" s="1"/>
  <c r="E31" i="56" a="1"/>
  <c r="E31" i="56" s="1"/>
  <c r="E32" i="56" a="1"/>
  <c r="E32" i="56" s="1"/>
  <c r="E33" i="56" a="1"/>
  <c r="E33" i="56" s="1"/>
  <c r="E34" i="56" a="1"/>
  <c r="E34" i="56" s="1"/>
  <c r="E35" i="56" a="1"/>
  <c r="E35" i="56" s="1"/>
  <c r="E36" i="56" a="1"/>
  <c r="E36" i="56" s="1"/>
  <c r="E37" i="56" a="1"/>
  <c r="E37" i="56" s="1"/>
  <c r="E38" i="56" a="1"/>
  <c r="E38" i="56" s="1"/>
  <c r="E39" i="56" a="1"/>
  <c r="E39" i="56" s="1"/>
  <c r="E40" i="56" a="1"/>
  <c r="E40" i="56" s="1"/>
  <c r="E5" i="56" a="1"/>
  <c r="E5" i="56" s="1"/>
  <c r="D13" i="56" a="1"/>
  <c r="D13" i="56" s="1"/>
  <c r="D14" i="56" a="1"/>
  <c r="D14" i="56" s="1"/>
  <c r="D15" i="56" a="1"/>
  <c r="D15" i="56" s="1"/>
  <c r="D16" i="56" a="1"/>
  <c r="D16" i="56" s="1"/>
  <c r="D17" i="56" a="1"/>
  <c r="D17" i="56" s="1"/>
  <c r="D18" i="56" a="1"/>
  <c r="D18" i="56" s="1"/>
  <c r="D19" i="56" a="1"/>
  <c r="D19" i="56" s="1"/>
  <c r="D20" i="56" a="1"/>
  <c r="D20" i="56" s="1"/>
  <c r="D26" i="56" a="1"/>
  <c r="D26" i="56" s="1"/>
  <c r="D27" i="56" a="1"/>
  <c r="D27" i="56" s="1"/>
  <c r="D28" i="56" a="1"/>
  <c r="D28" i="56" s="1"/>
  <c r="D29" i="56" a="1"/>
  <c r="D29" i="56" s="1"/>
  <c r="D30" i="56" a="1"/>
  <c r="D30" i="56" s="1"/>
  <c r="D31" i="56" a="1"/>
  <c r="D31" i="56" s="1"/>
  <c r="D32" i="56" a="1"/>
  <c r="D32" i="56" s="1"/>
  <c r="D33" i="56" a="1"/>
  <c r="D33" i="56" s="1"/>
  <c r="D34" i="56" a="1"/>
  <c r="D34" i="56" s="1"/>
  <c r="D35" i="56" a="1"/>
  <c r="D35" i="56" s="1"/>
  <c r="D36" i="56" a="1"/>
  <c r="D36" i="56" s="1"/>
  <c r="D37" i="56" a="1"/>
  <c r="D37" i="56" s="1"/>
  <c r="D38" i="56" a="1"/>
  <c r="D38" i="56" s="1"/>
  <c r="D39" i="56" a="1"/>
  <c r="D39" i="56" s="1"/>
  <c r="D40" i="56" a="1"/>
  <c r="D40" i="56" s="1"/>
  <c r="D6" i="56" a="1"/>
  <c r="D6" i="56" s="1"/>
  <c r="D7" i="56" a="1"/>
  <c r="D7" i="56" s="1"/>
  <c r="D8" i="56" a="1"/>
  <c r="D8" i="56" s="1"/>
  <c r="D9" i="56" a="1"/>
  <c r="D9" i="56" s="1"/>
  <c r="D10" i="56" a="1"/>
  <c r="D10" i="56" s="1"/>
  <c r="D11" i="56" a="1"/>
  <c r="D11" i="56" s="1"/>
  <c r="D5" i="56" a="1"/>
  <c r="D5" i="56" s="1"/>
  <c r="Y40" i="56"/>
  <c r="X40" i="56"/>
  <c r="W40" i="56"/>
  <c r="V40" i="56"/>
  <c r="U40" i="56"/>
  <c r="T40" i="56"/>
  <c r="S40" i="56"/>
  <c r="R40" i="56"/>
  <c r="Q40" i="56"/>
  <c r="P40" i="56"/>
  <c r="O40" i="56"/>
  <c r="N40" i="56"/>
  <c r="M40" i="56"/>
  <c r="J40" i="56"/>
  <c r="Y39" i="56"/>
  <c r="X39" i="56"/>
  <c r="W39" i="56"/>
  <c r="V39" i="56"/>
  <c r="U39" i="56"/>
  <c r="T39" i="56"/>
  <c r="S39" i="56"/>
  <c r="R39" i="56"/>
  <c r="Q39" i="56"/>
  <c r="P39" i="56"/>
  <c r="O39" i="56"/>
  <c r="N39" i="56"/>
  <c r="M39" i="56"/>
  <c r="J39" i="56"/>
  <c r="Y38" i="56"/>
  <c r="X38" i="56"/>
  <c r="W38" i="56"/>
  <c r="V38" i="56"/>
  <c r="U38" i="56"/>
  <c r="T38" i="56"/>
  <c r="S38" i="56"/>
  <c r="R38" i="56"/>
  <c r="Q38" i="56"/>
  <c r="P38" i="56"/>
  <c r="O38" i="56" a="1"/>
  <c r="O38" i="56" s="1"/>
  <c r="N38" i="56"/>
  <c r="M38" i="56"/>
  <c r="J38" i="56"/>
  <c r="Y37" i="56"/>
  <c r="X37" i="56"/>
  <c r="W37" i="56"/>
  <c r="V37" i="56"/>
  <c r="U37" i="56"/>
  <c r="T37" i="56"/>
  <c r="S37" i="56"/>
  <c r="R37" i="56"/>
  <c r="Q37" i="56"/>
  <c r="P37" i="56"/>
  <c r="O37" i="56" a="1"/>
  <c r="O37" i="56" s="1"/>
  <c r="N37" i="56" a="1"/>
  <c r="N37" i="56" s="1"/>
  <c r="M37" i="56"/>
  <c r="J37" i="56"/>
  <c r="Y36" i="56"/>
  <c r="X36" i="56"/>
  <c r="W36" i="56"/>
  <c r="V36" i="56"/>
  <c r="U36" i="56"/>
  <c r="T36" i="56"/>
  <c r="S36" i="56"/>
  <c r="R36" i="56"/>
  <c r="Q36" i="56"/>
  <c r="P36" i="56"/>
  <c r="O36" i="56"/>
  <c r="N36" i="56"/>
  <c r="M36" i="56"/>
  <c r="J36" i="56"/>
  <c r="Y35" i="56"/>
  <c r="X35" i="56"/>
  <c r="W35" i="56"/>
  <c r="V35" i="56"/>
  <c r="U35" i="56"/>
  <c r="T35" i="56"/>
  <c r="S35" i="56"/>
  <c r="R35" i="56"/>
  <c r="Q35" i="56"/>
  <c r="P35" i="56"/>
  <c r="O35" i="56" a="1"/>
  <c r="O35" i="56" s="1"/>
  <c r="N35" i="56"/>
  <c r="M35" i="56"/>
  <c r="J35" i="56"/>
  <c r="Y34" i="56"/>
  <c r="X34" i="56"/>
  <c r="W34" i="56"/>
  <c r="V34" i="56"/>
  <c r="U34" i="56"/>
  <c r="T34" i="56"/>
  <c r="S34" i="56"/>
  <c r="R34" i="56"/>
  <c r="Q34" i="56"/>
  <c r="P34" i="56"/>
  <c r="O34" i="56" a="1"/>
  <c r="O34" i="56" s="1"/>
  <c r="N34" i="56"/>
  <c r="M34" i="56" a="1"/>
  <c r="M34" i="56" s="1"/>
  <c r="J34" i="56"/>
  <c r="Y33" i="56"/>
  <c r="X33" i="56"/>
  <c r="W33" i="56"/>
  <c r="V33" i="56"/>
  <c r="U33" i="56"/>
  <c r="T33" i="56"/>
  <c r="S33" i="56"/>
  <c r="R33" i="56"/>
  <c r="Q33" i="56"/>
  <c r="P33" i="56"/>
  <c r="O33" i="56"/>
  <c r="N33" i="56"/>
  <c r="M33" i="56"/>
  <c r="J33" i="56"/>
  <c r="Y32" i="56"/>
  <c r="X32" i="56"/>
  <c r="W32" i="56"/>
  <c r="V32" i="56"/>
  <c r="U32" i="56"/>
  <c r="T32" i="56"/>
  <c r="S32" i="56"/>
  <c r="R32" i="56"/>
  <c r="Q32" i="56"/>
  <c r="P32" i="56"/>
  <c r="O32" i="56"/>
  <c r="N32" i="56"/>
  <c r="M32" i="56"/>
  <c r="J32" i="56" a="1"/>
  <c r="J32" i="56" s="1"/>
  <c r="Y31" i="56"/>
  <c r="X31" i="56"/>
  <c r="W31" i="56"/>
  <c r="V31" i="56"/>
  <c r="U31" i="56"/>
  <c r="T31" i="56"/>
  <c r="S31" i="56"/>
  <c r="R31" i="56"/>
  <c r="Q31" i="56"/>
  <c r="P31" i="56" a="1"/>
  <c r="P31" i="56" s="1"/>
  <c r="O31" i="56"/>
  <c r="N31" i="56"/>
  <c r="M31" i="56" a="1"/>
  <c r="M31" i="56" s="1"/>
  <c r="J31" i="56"/>
  <c r="Y30" i="56"/>
  <c r="X30" i="56"/>
  <c r="W30" i="56"/>
  <c r="V30" i="56"/>
  <c r="U30" i="56"/>
  <c r="T30" i="56"/>
  <c r="S30" i="56"/>
  <c r="R30" i="56"/>
  <c r="Q30" i="56"/>
  <c r="P30" i="56"/>
  <c r="O30" i="56"/>
  <c r="N30" i="56"/>
  <c r="M30" i="56"/>
  <c r="J30" i="56"/>
  <c r="Y29" i="56"/>
  <c r="X29" i="56"/>
  <c r="W29" i="56"/>
  <c r="V29" i="56"/>
  <c r="U29" i="56"/>
  <c r="T29" i="56"/>
  <c r="S29" i="56"/>
  <c r="R29" i="56"/>
  <c r="Q29" i="56"/>
  <c r="P29" i="56"/>
  <c r="O29" i="56"/>
  <c r="N29" i="56"/>
  <c r="M29" i="56"/>
  <c r="J29" i="56"/>
  <c r="Y28" i="56"/>
  <c r="X28" i="56"/>
  <c r="W28" i="56"/>
  <c r="V28" i="56"/>
  <c r="U28" i="56"/>
  <c r="T28" i="56"/>
  <c r="S28" i="56"/>
  <c r="R28" i="56"/>
  <c r="Q28" i="56"/>
  <c r="P28" i="56"/>
  <c r="O28" i="56"/>
  <c r="N28" i="56"/>
  <c r="M28" i="56"/>
  <c r="J28" i="56"/>
  <c r="Y27" i="56"/>
  <c r="X27" i="56"/>
  <c r="W27" i="56"/>
  <c r="V27" i="56"/>
  <c r="U27" i="56"/>
  <c r="T27" i="56"/>
  <c r="S27" i="56"/>
  <c r="R27" i="56"/>
  <c r="Q27" i="56"/>
  <c r="P27" i="56"/>
  <c r="O27" i="56"/>
  <c r="N27" i="56"/>
  <c r="M27" i="56"/>
  <c r="J27" i="56"/>
  <c r="Y26" i="56"/>
  <c r="X26" i="56"/>
  <c r="W26" i="56"/>
  <c r="V26" i="56"/>
  <c r="U26" i="56"/>
  <c r="T26" i="56"/>
  <c r="S26" i="56"/>
  <c r="R26" i="56"/>
  <c r="Q26" i="56"/>
  <c r="P26" i="56" a="1"/>
  <c r="P26" i="56" s="1"/>
  <c r="O26" i="56"/>
  <c r="N26" i="56"/>
  <c r="M26" i="56"/>
  <c r="J26" i="56"/>
  <c r="Y25" i="56"/>
  <c r="X25" i="56"/>
  <c r="W25" i="56"/>
  <c r="V25" i="56"/>
  <c r="U25" i="56"/>
  <c r="T25" i="56"/>
  <c r="S25" i="56"/>
  <c r="R25" i="56"/>
  <c r="Q25" i="56"/>
  <c r="P25" i="56"/>
  <c r="O25" i="56"/>
  <c r="N25" i="56"/>
  <c r="M25" i="56"/>
  <c r="J25" i="56"/>
  <c r="Y24" i="56"/>
  <c r="X24" i="56"/>
  <c r="W24" i="56"/>
  <c r="V24" i="56"/>
  <c r="U24" i="56"/>
  <c r="T24" i="56"/>
  <c r="S24" i="56"/>
  <c r="R24" i="56"/>
  <c r="Q24" i="56"/>
  <c r="P24" i="56"/>
  <c r="O24" i="56"/>
  <c r="N24" i="56"/>
  <c r="M24" i="56"/>
  <c r="J24" i="56"/>
  <c r="Y23" i="56"/>
  <c r="X23" i="56"/>
  <c r="W23" i="56"/>
  <c r="V23" i="56"/>
  <c r="U23" i="56"/>
  <c r="T23" i="56"/>
  <c r="S23" i="56"/>
  <c r="R23" i="56"/>
  <c r="Q23" i="56"/>
  <c r="P23" i="56"/>
  <c r="O23" i="56"/>
  <c r="N23" i="56"/>
  <c r="M23" i="56"/>
  <c r="J23" i="56"/>
  <c r="Y22" i="56"/>
  <c r="X22" i="56"/>
  <c r="W22" i="56"/>
  <c r="V22" i="56"/>
  <c r="U22" i="56"/>
  <c r="T22" i="56"/>
  <c r="S22" i="56"/>
  <c r="R22" i="56"/>
  <c r="Q22" i="56"/>
  <c r="P22" i="56"/>
  <c r="O22" i="56"/>
  <c r="N22" i="56"/>
  <c r="M22" i="56"/>
  <c r="J22" i="56"/>
  <c r="Y21" i="56"/>
  <c r="X21" i="56"/>
  <c r="W21" i="56"/>
  <c r="V21" i="56"/>
  <c r="U21" i="56"/>
  <c r="T21" i="56"/>
  <c r="S21" i="56"/>
  <c r="R21" i="56"/>
  <c r="Q21" i="56"/>
  <c r="P21" i="56"/>
  <c r="O21" i="56"/>
  <c r="N21" i="56"/>
  <c r="M21" i="56"/>
  <c r="J21" i="56"/>
  <c r="Y20" i="56"/>
  <c r="X20" i="56"/>
  <c r="W20" i="56"/>
  <c r="V20" i="56"/>
  <c r="U20" i="56"/>
  <c r="T20" i="56"/>
  <c r="S20" i="56"/>
  <c r="R20" i="56"/>
  <c r="Q20" i="56"/>
  <c r="P20" i="56"/>
  <c r="O20" i="56"/>
  <c r="N20" i="56"/>
  <c r="M20" i="56"/>
  <c r="J20" i="56"/>
  <c r="Y19" i="56"/>
  <c r="X19" i="56"/>
  <c r="W19" i="56"/>
  <c r="V19" i="56"/>
  <c r="U19" i="56"/>
  <c r="T19" i="56"/>
  <c r="S19" i="56"/>
  <c r="R19" i="56"/>
  <c r="Q19" i="56"/>
  <c r="P19" i="56"/>
  <c r="O19" i="56"/>
  <c r="N19" i="56"/>
  <c r="M19" i="56"/>
  <c r="J19" i="56"/>
  <c r="Y18" i="56"/>
  <c r="X18" i="56"/>
  <c r="W18" i="56"/>
  <c r="V18" i="56"/>
  <c r="U18" i="56"/>
  <c r="T18" i="56"/>
  <c r="S18" i="56"/>
  <c r="R18" i="56"/>
  <c r="Q18" i="56"/>
  <c r="P18" i="56"/>
  <c r="O18" i="56"/>
  <c r="N18" i="56"/>
  <c r="M18" i="56"/>
  <c r="J18" i="56"/>
  <c r="Y17" i="56"/>
  <c r="X17" i="56"/>
  <c r="W17" i="56"/>
  <c r="V17" i="56"/>
  <c r="U17" i="56"/>
  <c r="T17" i="56"/>
  <c r="S17" i="56"/>
  <c r="R17" i="56"/>
  <c r="Q17" i="56"/>
  <c r="P17" i="56" a="1"/>
  <c r="P17" i="56" s="1"/>
  <c r="O17" i="56"/>
  <c r="N17" i="56"/>
  <c r="M17" i="56"/>
  <c r="J17" i="56"/>
  <c r="Y16" i="56"/>
  <c r="X16" i="56"/>
  <c r="W16" i="56"/>
  <c r="V16" i="56"/>
  <c r="U16" i="56"/>
  <c r="T16" i="56"/>
  <c r="S16" i="56"/>
  <c r="R16" i="56"/>
  <c r="Q16" i="56"/>
  <c r="P16" i="56"/>
  <c r="O16" i="56"/>
  <c r="N16" i="56"/>
  <c r="M16" i="56" a="1"/>
  <c r="M16" i="56" s="1"/>
  <c r="J16" i="56"/>
  <c r="Y15" i="56"/>
  <c r="X15" i="56"/>
  <c r="W15" i="56"/>
  <c r="V15" i="56"/>
  <c r="U15" i="56"/>
  <c r="T15" i="56"/>
  <c r="S15" i="56"/>
  <c r="R15" i="56"/>
  <c r="Q15" i="56"/>
  <c r="P15" i="56"/>
  <c r="O15" i="56"/>
  <c r="N15" i="56"/>
  <c r="M15" i="56" a="1"/>
  <c r="M15" i="56" s="1"/>
  <c r="J15" i="56"/>
  <c r="Y14" i="56"/>
  <c r="X14" i="56"/>
  <c r="W14" i="56"/>
  <c r="V14" i="56"/>
  <c r="U14" i="56" a="1"/>
  <c r="U14" i="56" s="1"/>
  <c r="T14" i="56" a="1"/>
  <c r="T14" i="56" s="1"/>
  <c r="S14" i="56"/>
  <c r="R14" i="56"/>
  <c r="Q14" i="56"/>
  <c r="P14" i="56" a="1"/>
  <c r="P14" i="56" s="1"/>
  <c r="O14" i="56"/>
  <c r="N14" i="56"/>
  <c r="M14" i="56"/>
  <c r="J14" i="56"/>
  <c r="Y13" i="56"/>
  <c r="X13" i="56"/>
  <c r="W13" i="56"/>
  <c r="V13" i="56"/>
  <c r="U13" i="56"/>
  <c r="T13" i="56"/>
  <c r="S13" i="56"/>
  <c r="R13" i="56"/>
  <c r="Q13" i="56"/>
  <c r="P13" i="56" a="1"/>
  <c r="P13" i="56" s="1"/>
  <c r="O13" i="56"/>
  <c r="N13" i="56"/>
  <c r="M13" i="56"/>
  <c r="J13" i="56"/>
  <c r="Y12" i="56"/>
  <c r="X12" i="56"/>
  <c r="W12" i="56"/>
  <c r="V12" i="56"/>
  <c r="U12" i="56"/>
  <c r="T12" i="56"/>
  <c r="S12" i="56"/>
  <c r="R12" i="56"/>
  <c r="Q12" i="56"/>
  <c r="P12" i="56"/>
  <c r="O12" i="56"/>
  <c r="N12" i="56"/>
  <c r="M12" i="56"/>
  <c r="J12" i="56"/>
  <c r="Y11" i="56"/>
  <c r="X11" i="56"/>
  <c r="W11" i="56"/>
  <c r="V11" i="56"/>
  <c r="U11" i="56"/>
  <c r="T11" i="56"/>
  <c r="S11" i="56"/>
  <c r="R11" i="56"/>
  <c r="Q11" i="56"/>
  <c r="P11" i="56"/>
  <c r="O11" i="56"/>
  <c r="N11" i="56"/>
  <c r="M11" i="56"/>
  <c r="J11" i="56"/>
  <c r="Y10" i="56"/>
  <c r="X10" i="56"/>
  <c r="W10" i="56"/>
  <c r="V10" i="56"/>
  <c r="U10" i="56"/>
  <c r="T10" i="56"/>
  <c r="S10" i="56"/>
  <c r="R10" i="56"/>
  <c r="Q10" i="56" a="1"/>
  <c r="Q10" i="56" s="1"/>
  <c r="P10" i="56" a="1"/>
  <c r="P10" i="56" s="1"/>
  <c r="O10" i="56"/>
  <c r="N10" i="56"/>
  <c r="M10" i="56"/>
  <c r="J10" i="56"/>
  <c r="Y9" i="56"/>
  <c r="X9" i="56"/>
  <c r="W9" i="56"/>
  <c r="V9" i="56"/>
  <c r="U9" i="56"/>
  <c r="T9" i="56"/>
  <c r="S9" i="56"/>
  <c r="R9" i="56" a="1"/>
  <c r="R9" i="56" s="1"/>
  <c r="Q9" i="56"/>
  <c r="P9" i="56" a="1"/>
  <c r="P9" i="56" s="1"/>
  <c r="O9" i="56"/>
  <c r="N9" i="56"/>
  <c r="M9" i="56"/>
  <c r="J9" i="56"/>
  <c r="Y8" i="56"/>
  <c r="X8" i="56"/>
  <c r="W8" i="56"/>
  <c r="V8" i="56"/>
  <c r="U8" i="56"/>
  <c r="T8" i="56"/>
  <c r="S8" i="56" a="1"/>
  <c r="S8" i="56" s="1"/>
  <c r="R8" i="56"/>
  <c r="Q8" i="56"/>
  <c r="P8" i="56"/>
  <c r="O8" i="56"/>
  <c r="N8" i="56"/>
  <c r="M8" i="56"/>
  <c r="J8" i="56"/>
  <c r="Y7" i="56"/>
  <c r="X7" i="56"/>
  <c r="W7" i="56"/>
  <c r="V7" i="56"/>
  <c r="U7" i="56"/>
  <c r="T7" i="56"/>
  <c r="S7" i="56"/>
  <c r="R7" i="56"/>
  <c r="Q7" i="56"/>
  <c r="P7" i="56"/>
  <c r="O7" i="56"/>
  <c r="N7" i="56"/>
  <c r="M7" i="56"/>
  <c r="J7" i="56"/>
  <c r="Y6" i="56"/>
  <c r="X6" i="56"/>
  <c r="W6" i="56"/>
  <c r="V6" i="56"/>
  <c r="U6" i="56"/>
  <c r="T6" i="56"/>
  <c r="S6" i="56"/>
  <c r="R6" i="56"/>
  <c r="Q6" i="56"/>
  <c r="P6" i="56" a="1"/>
  <c r="P6" i="56" s="1"/>
  <c r="O6" i="56"/>
  <c r="N6" i="56"/>
  <c r="M6" i="56"/>
  <c r="L6" i="56"/>
  <c r="L41" i="56" s="1"/>
  <c r="J6" i="56"/>
  <c r="Y5" i="56" a="1"/>
  <c r="Y5" i="56" s="1"/>
  <c r="X5" i="56" a="1"/>
  <c r="X5" i="56" s="1"/>
  <c r="W5" i="56" a="1"/>
  <c r="W5" i="56" s="1"/>
  <c r="V5" i="56" a="1"/>
  <c r="V5" i="56" s="1"/>
  <c r="U5" i="56"/>
  <c r="T5" i="56"/>
  <c r="S5" i="56"/>
  <c r="R5" i="56"/>
  <c r="Q5" i="56"/>
  <c r="P5" i="56"/>
  <c r="O5" i="56"/>
  <c r="N5" i="56"/>
  <c r="M5" i="56"/>
  <c r="J5" i="56"/>
  <c r="Y4" i="56"/>
  <c r="X4" i="56"/>
  <c r="W4" i="56"/>
  <c r="V4" i="56"/>
  <c r="U4" i="56"/>
  <c r="T4" i="56"/>
  <c r="S4" i="56"/>
  <c r="R4" i="56"/>
  <c r="Q4" i="56"/>
  <c r="P4" i="56"/>
  <c r="O4" i="56"/>
  <c r="N4" i="56"/>
  <c r="M4" i="56"/>
  <c r="K4" i="56"/>
  <c r="J4" i="56"/>
  <c r="I4" i="56" a="1"/>
  <c r="I4" i="56" s="1"/>
  <c r="P41" i="56" l="1"/>
  <c r="T41" i="56"/>
  <c r="X41" i="56"/>
  <c r="R41" i="56"/>
  <c r="V41" i="56"/>
  <c r="Z28" i="56"/>
  <c r="Z20" i="56"/>
  <c r="Z32" i="56"/>
  <c r="Z30" i="56"/>
  <c r="Z35" i="56"/>
  <c r="Z15" i="56"/>
  <c r="J41" i="56"/>
  <c r="O41" i="56"/>
  <c r="S41" i="56"/>
  <c r="W41" i="56"/>
  <c r="Z7" i="56"/>
  <c r="Z33" i="56"/>
  <c r="Z40" i="56"/>
  <c r="Z16" i="56"/>
  <c r="Z14" i="56"/>
  <c r="M41" i="56"/>
  <c r="Q41" i="56"/>
  <c r="U41" i="56"/>
  <c r="Y41" i="56"/>
  <c r="Z37" i="56"/>
  <c r="Z26" i="56"/>
  <c r="Z9" i="56"/>
  <c r="Z6" i="56"/>
  <c r="Z8" i="56"/>
  <c r="K41" i="56"/>
  <c r="Z10" i="56"/>
  <c r="Z19" i="56"/>
  <c r="Z31" i="56"/>
  <c r="Z34" i="56"/>
  <c r="Z39" i="56"/>
  <c r="Z29" i="56"/>
  <c r="Z36" i="56"/>
  <c r="I41" i="56"/>
  <c r="N41" i="56"/>
  <c r="Z5" i="56"/>
  <c r="Z17" i="56"/>
  <c r="Z27" i="56"/>
  <c r="Z38" i="56"/>
  <c r="AN9" i="34"/>
  <c r="BQ9" i="34" s="1"/>
  <c r="AK11" i="34"/>
  <c r="G11" i="56" s="1" a="1"/>
  <c r="G11" i="56" s="1"/>
  <c r="Z11" i="56" l="1"/>
  <c r="AG8" i="43" l="1"/>
  <c r="AB8" i="47" l="1"/>
  <c r="AF8" i="47" s="1"/>
  <c r="X8" i="47"/>
  <c r="V17" i="47" s="1"/>
  <c r="T8" i="47"/>
  <c r="Q17" i="47" s="1"/>
  <c r="K19" i="47"/>
  <c r="N19" i="47" s="1"/>
  <c r="K18" i="47"/>
  <c r="N18" i="47" s="1"/>
  <c r="K17" i="47"/>
  <c r="N17" i="47" s="1"/>
  <c r="K16" i="47"/>
  <c r="N16" i="47" s="1"/>
  <c r="G19" i="47"/>
  <c r="G18" i="47"/>
  <c r="G17" i="47"/>
  <c r="G16" i="47"/>
  <c r="AG11" i="34"/>
  <c r="G23" i="56" s="1" a="1"/>
  <c r="G23" i="56" s="1"/>
  <c r="CW8" i="33"/>
  <c r="CV8" i="33"/>
  <c r="CU8" i="33"/>
  <c r="CR8" i="33"/>
  <c r="BZ8" i="33"/>
  <c r="BY8" i="33"/>
  <c r="BX8" i="33"/>
  <c r="BV8" i="33"/>
  <c r="BU8" i="33"/>
  <c r="AX8" i="33"/>
  <c r="AY8" i="33"/>
  <c r="AZ8" i="33"/>
  <c r="BA8" i="33"/>
  <c r="BF7" i="33"/>
  <c r="AC17" i="47" l="1"/>
  <c r="X17" i="47"/>
  <c r="AD17" i="47" s="1"/>
  <c r="S17" i="47"/>
  <c r="CC28" i="33"/>
  <c r="CC30" i="33"/>
  <c r="AB17" i="47"/>
  <c r="AF17" i="47" s="1"/>
  <c r="DB28" i="33"/>
  <c r="AD8" i="47"/>
  <c r="DB29" i="33"/>
  <c r="DB30" i="33"/>
  <c r="AE8" i="47"/>
  <c r="DB31" i="33"/>
  <c r="CC29" i="33"/>
  <c r="Y17" i="47" l="1"/>
  <c r="Z17" i="47" s="1"/>
  <c r="AG8" i="47"/>
  <c r="AB7" i="35"/>
  <c r="AF7" i="35" s="1"/>
  <c r="X7" i="35"/>
  <c r="AE7" i="35" s="1"/>
  <c r="T7" i="35"/>
  <c r="T8" i="35" s="1"/>
  <c r="AD7" i="35" l="1"/>
  <c r="BE30" i="33"/>
  <c r="BE31" i="33"/>
  <c r="BE28" i="33" l="1"/>
  <c r="L16" i="47" l="1"/>
  <c r="F7" i="36"/>
  <c r="L11" i="32"/>
  <c r="AZ7" i="32" l="1"/>
  <c r="BD7" i="32" s="1" a="1"/>
  <c r="BD7" i="32" s="1"/>
  <c r="AF7" i="32"/>
  <c r="BB7" i="32" s="1"/>
  <c r="AN10" i="34"/>
  <c r="BQ10" i="34" s="1"/>
  <c r="AY8" i="36"/>
  <c r="BC8" i="36" s="1"/>
  <c r="AY9" i="36"/>
  <c r="BC9" i="36" s="1"/>
  <c r="AY10" i="36"/>
  <c r="AY11" i="36"/>
  <c r="BC11" i="36" s="1"/>
  <c r="AY13" i="36"/>
  <c r="AY14" i="36"/>
  <c r="AY15" i="36"/>
  <c r="AY16" i="36"/>
  <c r="AY17" i="36"/>
  <c r="BC17" i="36" s="1"/>
  <c r="AY18" i="36"/>
  <c r="BC18" i="36" s="1"/>
  <c r="AY20" i="36"/>
  <c r="AY21" i="36"/>
  <c r="AY22" i="36"/>
  <c r="BC22" i="36" s="1"/>
  <c r="AY24" i="36"/>
  <c r="AP8" i="36"/>
  <c r="BB8" i="36" s="1"/>
  <c r="AP9" i="36"/>
  <c r="BB9" i="36" s="1"/>
  <c r="AP10" i="36"/>
  <c r="AP11" i="36"/>
  <c r="BB11" i="36" s="1"/>
  <c r="AP13" i="36"/>
  <c r="AP14" i="36"/>
  <c r="AP15" i="36"/>
  <c r="BB15" i="36" s="1"/>
  <c r="BB24" i="36"/>
  <c r="AP7" i="36"/>
  <c r="BB7" i="36" s="1"/>
  <c r="AF8" i="36"/>
  <c r="BA8" i="36" s="1"/>
  <c r="AF9" i="36"/>
  <c r="BA9" i="36" s="1"/>
  <c r="AF10" i="36"/>
  <c r="AF11" i="36"/>
  <c r="BA11" i="36" s="1"/>
  <c r="AF12" i="36"/>
  <c r="BA12" i="36" s="1"/>
  <c r="AF13" i="36"/>
  <c r="AF14" i="36"/>
  <c r="AF15" i="36"/>
  <c r="BA15" i="36" s="1"/>
  <c r="AF16" i="36"/>
  <c r="AF17" i="36"/>
  <c r="BA17" i="36" s="1"/>
  <c r="AF18" i="36"/>
  <c r="BA18" i="36" s="1"/>
  <c r="AF19" i="36"/>
  <c r="BA19" i="36" s="1"/>
  <c r="AF20" i="36"/>
  <c r="AF21" i="36"/>
  <c r="BA21" i="36" s="1"/>
  <c r="AF22" i="36"/>
  <c r="BA22" i="36" s="1"/>
  <c r="AF23" i="36"/>
  <c r="BA23" i="36" s="1"/>
  <c r="AF24" i="36"/>
  <c r="BA24" i="36" s="1"/>
  <c r="AF7" i="36"/>
  <c r="BA7" i="36" s="1"/>
  <c r="AY7" i="38"/>
  <c r="AB8" i="48"/>
  <c r="T9" i="48"/>
  <c r="T8" i="48"/>
  <c r="T7" i="48"/>
  <c r="AB7" i="41"/>
  <c r="T7" i="41"/>
  <c r="AD17" i="52"/>
  <c r="T7" i="52"/>
  <c r="AN7" i="51"/>
  <c r="AH14" i="51" s="1"/>
  <c r="AN8" i="51"/>
  <c r="AG7" i="51"/>
  <c r="AA14" i="51" s="1"/>
  <c r="AJ14" i="51" s="1"/>
  <c r="Z9" i="51"/>
  <c r="AP9" i="51" s="1"/>
  <c r="Z8" i="51"/>
  <c r="Z7" i="51"/>
  <c r="T14" i="51" s="1"/>
  <c r="AI14" i="51" s="1"/>
  <c r="X8" i="54"/>
  <c r="AE8" i="54" s="1"/>
  <c r="Z9" i="54"/>
  <c r="Y9" i="54"/>
  <c r="V9" i="54"/>
  <c r="U9" i="54"/>
  <c r="R9" i="54"/>
  <c r="Q9" i="54"/>
  <c r="T8" i="54"/>
  <c r="AD8" i="54" s="1"/>
  <c r="AF8" i="54"/>
  <c r="AD7" i="41" l="1"/>
  <c r="T9" i="41"/>
  <c r="AF7" i="41"/>
  <c r="AB9" i="41"/>
  <c r="AF8" i="48"/>
  <c r="AA15" i="48"/>
  <c r="AH15" i="51"/>
  <c r="AR8" i="51"/>
  <c r="AR7" i="51"/>
  <c r="AC14" i="51"/>
  <c r="AF25" i="36"/>
  <c r="BA25" i="36" s="1"/>
  <c r="AA19" i="34"/>
  <c r="AC19" i="34" s="1"/>
  <c r="Q22" i="52"/>
  <c r="S22" i="52" s="1"/>
  <c r="T22" i="52" s="1"/>
  <c r="AB14" i="51"/>
  <c r="U14" i="51"/>
  <c r="T18" i="52"/>
  <c r="AG8" i="54"/>
  <c r="AF11" i="28"/>
  <c r="AF8" i="28"/>
  <c r="AQ8" i="28" s="1"/>
  <c r="AF9" i="28"/>
  <c r="AQ9" i="28" s="1"/>
  <c r="AF10" i="28"/>
  <c r="AF7" i="28"/>
  <c r="Y8" i="28"/>
  <c r="AP8" i="28" s="1"/>
  <c r="Y9" i="28"/>
  <c r="AP9" i="28" s="1"/>
  <c r="Y10" i="28"/>
  <c r="AP10" i="28" s="1"/>
  <c r="AP7" i="28"/>
  <c r="Y11" i="28" l="1"/>
  <c r="BE23" i="33" l="1"/>
  <c r="BE22" i="33"/>
  <c r="BE21" i="33"/>
  <c r="BE20" i="33"/>
  <c r="BE24" i="33" l="1"/>
  <c r="BE29" i="33"/>
  <c r="BO10" i="34"/>
  <c r="BK11" i="34"/>
  <c r="BG11" i="34"/>
  <c r="BC19" i="34" l="1"/>
  <c r="BS10" i="34"/>
  <c r="M26" i="30"/>
  <c r="Y9" i="41" l="1"/>
  <c r="CE8" i="38" l="1"/>
  <c r="BW8" i="38"/>
  <c r="BU8" i="38"/>
  <c r="M23" i="30" l="1"/>
  <c r="AF16" i="52"/>
  <c r="AF15" i="52"/>
  <c r="AF11" i="52"/>
  <c r="AN9" i="51"/>
  <c r="AB9" i="48"/>
  <c r="AF9" i="48" s="1"/>
  <c r="AB7" i="48"/>
  <c r="AF7" i="48" s="1"/>
  <c r="CI7" i="38"/>
  <c r="CM7" i="38" s="1"/>
  <c r="BS8" i="38"/>
  <c r="BT8" i="38"/>
  <c r="BV8" i="38"/>
  <c r="BX8" i="38"/>
  <c r="BY8" i="38"/>
  <c r="AY25" i="36"/>
  <c r="BC25" i="36" s="1"/>
  <c r="BC21" i="36"/>
  <c r="BC16" i="36"/>
  <c r="BC15" i="36"/>
  <c r="BC10" i="36"/>
  <c r="AY7" i="36"/>
  <c r="BC7" i="36" s="1"/>
  <c r="CY20" i="33"/>
  <c r="CY21" i="33"/>
  <c r="CY22" i="33"/>
  <c r="CY23" i="33"/>
  <c r="CY24" i="33"/>
  <c r="CY27" i="33"/>
  <c r="BO9" i="34"/>
  <c r="BS9" i="34" s="1"/>
  <c r="BO8" i="34"/>
  <c r="BS8" i="34" s="1"/>
  <c r="BO7" i="34"/>
  <c r="BS7" i="34" s="1"/>
  <c r="BI11" i="34"/>
  <c r="BJ11" i="34"/>
  <c r="AQ17" i="32"/>
  <c r="AQ16" i="32"/>
  <c r="AQ15" i="32"/>
  <c r="AQ14" i="32"/>
  <c r="AQ13" i="32"/>
  <c r="AQ12" i="32"/>
  <c r="AQ11" i="32"/>
  <c r="AN11" i="28"/>
  <c r="AN10" i="28"/>
  <c r="AR10" i="28" s="1"/>
  <c r="AN9" i="28"/>
  <c r="AR9" i="28" s="1"/>
  <c r="AN8" i="28"/>
  <c r="AR8" i="28" s="1"/>
  <c r="AN7" i="28"/>
  <c r="AR7" i="28" l="1"/>
  <c r="AG15" i="28"/>
  <c r="AK15" i="28" s="1"/>
  <c r="AF17" i="52"/>
  <c r="AR9" i="51"/>
  <c r="AH16" i="51"/>
  <c r="AF7" i="54"/>
  <c r="AB9" i="54"/>
  <c r="AF13" i="43"/>
  <c r="M28" i="30"/>
  <c r="AB18" i="52"/>
  <c r="M27" i="30"/>
  <c r="AF7" i="52"/>
  <c r="AA14" i="48"/>
  <c r="AQ18" i="32"/>
  <c r="AL26" i="36"/>
  <c r="AD20" i="43" l="1"/>
  <c r="AE20" i="43" s="1"/>
  <c r="AE12" i="43"/>
  <c r="U9" i="41" l="1"/>
  <c r="X7" i="41"/>
  <c r="AE7" i="41" l="1"/>
  <c r="X9" i="41"/>
  <c r="AQ7" i="28"/>
  <c r="BF8" i="38" l="1"/>
  <c r="L24" i="30" l="1"/>
  <c r="T9" i="43"/>
  <c r="T7" i="43"/>
  <c r="Q18" i="43" s="1"/>
  <c r="L21" i="43"/>
  <c r="AD12" i="43"/>
  <c r="AG12" i="43" s="1"/>
  <c r="T11" i="43"/>
  <c r="AD9" i="43" l="1"/>
  <c r="Q19" i="43"/>
  <c r="AG11" i="43"/>
  <c r="Q20" i="43"/>
  <c r="AD11" i="43"/>
  <c r="S19" i="43"/>
  <c r="AD7" i="43"/>
  <c r="O9" i="30"/>
  <c r="CL7" i="38"/>
  <c r="BB16" i="36"/>
  <c r="BB10" i="36"/>
  <c r="BB9" i="34"/>
  <c r="BR9" i="34" s="1"/>
  <c r="BB8" i="34"/>
  <c r="BR8" i="34" s="1"/>
  <c r="BB7" i="34"/>
  <c r="BR7" i="34" s="1"/>
  <c r="AP7" i="32"/>
  <c r="BC7" i="32" s="1" a="1"/>
  <c r="BC7" i="32" s="1"/>
  <c r="U27" i="52"/>
  <c r="Z34" i="52" s="1"/>
  <c r="AE16" i="52"/>
  <c r="AE15" i="52"/>
  <c r="AE11" i="52"/>
  <c r="AG9" i="51"/>
  <c r="AQ9" i="51" s="1"/>
  <c r="AA15" i="51"/>
  <c r="AJ15" i="51" s="1"/>
  <c r="AQ7" i="51"/>
  <c r="U12" i="49"/>
  <c r="X9" i="48"/>
  <c r="U16" i="48" s="1"/>
  <c r="AC16" i="48" s="1"/>
  <c r="X7" i="48"/>
  <c r="BE8" i="38"/>
  <c r="BG8" i="38"/>
  <c r="BH8" i="38"/>
  <c r="BI8" i="38"/>
  <c r="S20" i="43" l="1"/>
  <c r="T20" i="43" s="1"/>
  <c r="V26" i="43"/>
  <c r="X26" i="43" s="1"/>
  <c r="Y26" i="43" s="1"/>
  <c r="AB18" i="43"/>
  <c r="S18" i="43"/>
  <c r="T18" i="43" s="1"/>
  <c r="X27" i="52"/>
  <c r="Y27" i="52" s="1"/>
  <c r="AB19" i="43"/>
  <c r="V25" i="43"/>
  <c r="T19" i="43"/>
  <c r="U14" i="48"/>
  <c r="AC14" i="48" s="1"/>
  <c r="AD14" i="48" s="1"/>
  <c r="AE14" i="48" s="1"/>
  <c r="AE7" i="48"/>
  <c r="AC15" i="51"/>
  <c r="AD15" i="51" s="1"/>
  <c r="U26" i="52"/>
  <c r="BF19" i="34"/>
  <c r="AO16" i="34"/>
  <c r="AP26" i="36"/>
  <c r="V24" i="43"/>
  <c r="AE17" i="52"/>
  <c r="AE9" i="48"/>
  <c r="AA16" i="51"/>
  <c r="AJ16" i="51" s="1"/>
  <c r="AQ8" i="51"/>
  <c r="X26" i="52" l="1"/>
  <c r="Y26" i="52" s="1"/>
  <c r="Z33" i="52"/>
  <c r="T21" i="43"/>
  <c r="AE10" i="48"/>
  <c r="BF16" i="34"/>
  <c r="AC16" i="51"/>
  <c r="AD16" i="51" s="1"/>
  <c r="Z26" i="36"/>
  <c r="Y26" i="36"/>
  <c r="AA26" i="36"/>
  <c r="AB26" i="36"/>
  <c r="AC26" i="36"/>
  <c r="L16" i="30" l="1"/>
  <c r="CZ25" i="33"/>
  <c r="CZ19" i="33"/>
  <c r="CZ18" i="33"/>
  <c r="CZ17" i="33"/>
  <c r="CZ16" i="33"/>
  <c r="CZ15" i="33"/>
  <c r="CZ14" i="33"/>
  <c r="CZ13" i="33" l="1"/>
  <c r="DA13" i="33" s="1"/>
  <c r="DB13" i="33" s="1"/>
  <c r="CZ27" i="33"/>
  <c r="DA27" i="33" s="1"/>
  <c r="DB27" i="33" s="1"/>
  <c r="CZ24" i="33"/>
  <c r="DA24" i="33" s="1"/>
  <c r="DB24" i="33" s="1"/>
  <c r="CZ23" i="33"/>
  <c r="DA23" i="33" s="1"/>
  <c r="DB23" i="33" s="1"/>
  <c r="CZ26" i="33"/>
  <c r="CZ20" i="33"/>
  <c r="DA20" i="33" s="1"/>
  <c r="DB20" i="33" s="1"/>
  <c r="CZ21" i="33"/>
  <c r="DA21" i="33" s="1"/>
  <c r="DB21" i="33" s="1"/>
  <c r="CZ22" i="33"/>
  <c r="DA22" i="33" s="1"/>
  <c r="DB22" i="33" s="1"/>
  <c r="AO18" i="34"/>
  <c r="AO17" i="34"/>
  <c r="AO20" i="34" s="1"/>
  <c r="AU11" i="34"/>
  <c r="AV11" i="34"/>
  <c r="AW11" i="34"/>
  <c r="AG13" i="32"/>
  <c r="AG12" i="32"/>
  <c r="AG11" i="32"/>
  <c r="AG17" i="32"/>
  <c r="AG16" i="32"/>
  <c r="AG15" i="32"/>
  <c r="AG14" i="32"/>
  <c r="Z15" i="28"/>
  <c r="BF18" i="34" l="1"/>
  <c r="AR18" i="34"/>
  <c r="AH14" i="32"/>
  <c r="AT14" i="32"/>
  <c r="AH13" i="32"/>
  <c r="AT13" i="32"/>
  <c r="AH11" i="32"/>
  <c r="AT11" i="32"/>
  <c r="AH15" i="32"/>
  <c r="AT15" i="32"/>
  <c r="AH12" i="32"/>
  <c r="AT12" i="32"/>
  <c r="AH16" i="32"/>
  <c r="AT16" i="32"/>
  <c r="AH17" i="32"/>
  <c r="AT17" i="32"/>
  <c r="AJ15" i="28"/>
  <c r="BF17" i="34"/>
  <c r="AS16" i="34"/>
  <c r="AG18" i="32"/>
  <c r="AI11" i="32" s="1"/>
  <c r="AJ11" i="34" l="1"/>
  <c r="AB11" i="34"/>
  <c r="G13" i="56" s="1" a="1"/>
  <c r="G13" i="56" s="1"/>
  <c r="Z13" i="56" s="1"/>
  <c r="CC13" i="33" l="1"/>
  <c r="AQ19" i="34" l="1"/>
  <c r="AR19" i="34" s="1"/>
  <c r="BE19" i="34"/>
  <c r="W11" i="32"/>
  <c r="AS11" i="32" s="1"/>
  <c r="AU11" i="32" s="1"/>
  <c r="AN7" i="34"/>
  <c r="BQ7" i="34" s="1"/>
  <c r="AH11" i="34"/>
  <c r="G24" i="56" s="1" a="1"/>
  <c r="G24" i="56" s="1"/>
  <c r="AI11" i="34"/>
  <c r="X11" i="32" l="1"/>
  <c r="AK11" i="32"/>
  <c r="AA16" i="34"/>
  <c r="AQ16" i="34" l="1"/>
  <c r="AR16" i="34" s="1"/>
  <c r="BE16" i="34"/>
  <c r="AC16" i="34"/>
  <c r="K19" i="34" l="1"/>
  <c r="K18" i="34"/>
  <c r="K17" i="34"/>
  <c r="K16" i="34"/>
  <c r="F17" i="34"/>
  <c r="F18" i="34"/>
  <c r="F19" i="34"/>
  <c r="F16" i="34"/>
  <c r="E15" i="34"/>
  <c r="CK7" i="38" l="1"/>
  <c r="AN8" i="38"/>
  <c r="AO8" i="38"/>
  <c r="AP8" i="38"/>
  <c r="AS8" i="38"/>
  <c r="AV8" i="38"/>
  <c r="AG8" i="38"/>
  <c r="AH8" i="38"/>
  <c r="AI8" i="38"/>
  <c r="AJ8" i="38"/>
  <c r="AK8" i="38"/>
  <c r="AL8" i="38"/>
  <c r="AM8" i="38"/>
  <c r="K19" i="49" l="1"/>
  <c r="K18" i="49"/>
  <c r="AD8" i="48"/>
  <c r="AD9" i="48"/>
  <c r="AD7" i="48"/>
  <c r="CC27" i="33"/>
  <c r="CC24" i="33"/>
  <c r="CC23" i="33"/>
  <c r="CC22" i="33"/>
  <c r="AO8" i="33"/>
  <c r="AP8" i="33"/>
  <c r="AQ8" i="33"/>
  <c r="AR8" i="33"/>
  <c r="AS8" i="33"/>
  <c r="AT8" i="33"/>
  <c r="AU8" i="33"/>
  <c r="AV8" i="33"/>
  <c r="AW8" i="33"/>
  <c r="AN8" i="34"/>
  <c r="D21" i="56" a="1"/>
  <c r="D21" i="56" s="1"/>
  <c r="D22" i="56" a="1"/>
  <c r="D22" i="56" s="1"/>
  <c r="D23" i="56" a="1"/>
  <c r="D23" i="56" s="1"/>
  <c r="D24" i="56" a="1"/>
  <c r="D24" i="56" s="1"/>
  <c r="D25" i="56" a="1"/>
  <c r="D25" i="56" s="1"/>
  <c r="D12" i="56" a="1"/>
  <c r="D12" i="56" s="1"/>
  <c r="S12" i="28"/>
  <c r="D4" i="56" s="1" a="1"/>
  <c r="D4" i="56" s="1"/>
  <c r="Z4" i="56" s="1"/>
  <c r="Z41" i="56" s="1"/>
  <c r="Z25" i="56" l="1"/>
  <c r="D41" i="56"/>
  <c r="CY17" i="33"/>
  <c r="DA17" i="33" s="1"/>
  <c r="DB17" i="33" s="1"/>
  <c r="CY16" i="33"/>
  <c r="DA16" i="33" s="1"/>
  <c r="DB16" i="33" s="1"/>
  <c r="CY14" i="33"/>
  <c r="DA14" i="33" s="1"/>
  <c r="DB14" i="33" s="1"/>
  <c r="CY18" i="33"/>
  <c r="DA18" i="33" s="1"/>
  <c r="DB18" i="33" s="1"/>
  <c r="CY15" i="33"/>
  <c r="DA15" i="33" s="1"/>
  <c r="DB15" i="33" s="1"/>
  <c r="CY19" i="33"/>
  <c r="DA19" i="33" s="1"/>
  <c r="DB19" i="33" s="1"/>
  <c r="CC15" i="33"/>
  <c r="CC19" i="33"/>
  <c r="CC16" i="33"/>
  <c r="CC20" i="33"/>
  <c r="CC17" i="33"/>
  <c r="CC21" i="33"/>
  <c r="CC14" i="33"/>
  <c r="CC18" i="33"/>
  <c r="BE27" i="33"/>
  <c r="AA18" i="34"/>
  <c r="BQ8" i="34"/>
  <c r="AA17" i="34"/>
  <c r="X7" i="39"/>
  <c r="AE7" i="39" s="1"/>
  <c r="AB7" i="39"/>
  <c r="AF7" i="39" s="1"/>
  <c r="BE18" i="34" l="1"/>
  <c r="AC18" i="34"/>
  <c r="BE19" i="33"/>
  <c r="AQ17" i="34"/>
  <c r="AR17" i="34" s="1"/>
  <c r="BE17" i="34"/>
  <c r="AQ18" i="34"/>
  <c r="AC20" i="34"/>
  <c r="AD16" i="34" s="1"/>
  <c r="AC17" i="34"/>
  <c r="CY25" i="33" l="1"/>
  <c r="DA25" i="33" s="1"/>
  <c r="DB25" i="33" s="1"/>
  <c r="CC25" i="33"/>
  <c r="BE25" i="33"/>
  <c r="BE26" i="33"/>
  <c r="CY26" i="33"/>
  <c r="DA26" i="33" s="1"/>
  <c r="DB26" i="33" s="1"/>
  <c r="AA16" i="48"/>
  <c r="DB7" i="33"/>
  <c r="DB33" i="33" l="1"/>
  <c r="CC26" i="33"/>
  <c r="AD16" i="48"/>
  <c r="AE16" i="48" s="1"/>
  <c r="BC24" i="36"/>
  <c r="CC33" i="33" l="1"/>
  <c r="BD24" i="36"/>
  <c r="BD23" i="36"/>
  <c r="L24" i="52"/>
  <c r="L17" i="51"/>
  <c r="K16" i="51"/>
  <c r="K15" i="51"/>
  <c r="K14" i="51"/>
  <c r="L20" i="49"/>
  <c r="K17" i="49"/>
  <c r="K16" i="49"/>
  <c r="K15" i="49"/>
  <c r="K16" i="48"/>
  <c r="K15" i="48"/>
  <c r="K14" i="48"/>
  <c r="L17" i="48"/>
  <c r="BE18" i="33"/>
  <c r="BE17" i="33"/>
  <c r="BE16" i="33"/>
  <c r="BE15" i="33"/>
  <c r="BE14" i="33"/>
  <c r="BE13" i="33"/>
  <c r="BE33" i="33" l="1"/>
  <c r="W13" i="32"/>
  <c r="AS13" i="32" s="1"/>
  <c r="AU13" i="32" s="1"/>
  <c r="W17" i="32"/>
  <c r="AS17" i="32" s="1"/>
  <c r="AU17" i="32" s="1"/>
  <c r="W16" i="32"/>
  <c r="AS16" i="32" s="1"/>
  <c r="AU16" i="32" s="1"/>
  <c r="W15" i="32"/>
  <c r="AS15" i="32" s="1"/>
  <c r="AU15" i="32" s="1"/>
  <c r="W14" i="32"/>
  <c r="AS14" i="32" s="1"/>
  <c r="AU14" i="32" s="1"/>
  <c r="W12" i="32"/>
  <c r="AS12" i="32" s="1"/>
  <c r="AU12" i="32" s="1"/>
  <c r="AU18" i="32" l="1"/>
  <c r="AV11" i="32" s="1"/>
  <c r="J8" i="30" s="1"/>
  <c r="X13" i="32"/>
  <c r="AK13" i="32"/>
  <c r="X16" i="32"/>
  <c r="AK16" i="32"/>
  <c r="X12" i="32"/>
  <c r="AK12" i="32"/>
  <c r="X17" i="32"/>
  <c r="AK17" i="32"/>
  <c r="X14" i="32"/>
  <c r="AK14" i="32"/>
  <c r="X15" i="32"/>
  <c r="AK15" i="32"/>
  <c r="W18" i="32"/>
  <c r="Z11" i="32" s="1"/>
  <c r="AQ10" i="28"/>
  <c r="S18" i="28"/>
  <c r="AI18" i="28" l="1"/>
  <c r="AB18" i="28"/>
  <c r="U18" i="28"/>
  <c r="AG18" i="28"/>
  <c r="AK18" i="28" s="1"/>
  <c r="Z18" i="28"/>
  <c r="AJ18" i="28" s="1"/>
  <c r="AC18" i="28" l="1"/>
  <c r="AS10" i="28"/>
  <c r="S15" i="28" l="1"/>
  <c r="AI15" i="28" s="1"/>
  <c r="AB15" i="28" l="1"/>
  <c r="U15" i="28"/>
  <c r="AC15" i="28"/>
  <c r="Y34" i="52"/>
  <c r="AC34" i="52" s="1"/>
  <c r="AD34" i="52" s="1"/>
  <c r="AD11" i="52"/>
  <c r="AD15" i="52"/>
  <c r="AD16" i="52"/>
  <c r="AC35" i="52" l="1"/>
  <c r="AD7" i="52"/>
  <c r="AD18" i="52" s="1"/>
  <c r="AA33" i="52"/>
  <c r="AD33" i="52" s="1"/>
  <c r="Q23" i="52"/>
  <c r="X7" i="54"/>
  <c r="AE7" i="54" s="1"/>
  <c r="T7" i="54"/>
  <c r="AB7" i="40"/>
  <c r="AF7" i="40" s="1"/>
  <c r="X7" i="40"/>
  <c r="AE7" i="40" s="1"/>
  <c r="T7" i="40"/>
  <c r="AD7" i="40" s="1"/>
  <c r="AA34" i="52" l="1"/>
  <c r="S23" i="52"/>
  <c r="T23" i="52" s="1"/>
  <c r="AD7" i="54"/>
  <c r="T9" i="54"/>
  <c r="X9" i="54"/>
  <c r="V27" i="52"/>
  <c r="V26" i="52"/>
  <c r="Y28" i="52" s="1"/>
  <c r="Z26" i="52" s="1"/>
  <c r="U8" i="40"/>
  <c r="S24" i="52" l="1"/>
  <c r="AC9" i="54"/>
  <c r="S11" i="50" s="1"/>
  <c r="AA9" i="54"/>
  <c r="W9" i="54"/>
  <c r="S9" i="54"/>
  <c r="AE9" i="54"/>
  <c r="AD9" i="54"/>
  <c r="AB9" i="47"/>
  <c r="AB18" i="47" s="1"/>
  <c r="AB10" i="47"/>
  <c r="AB19" i="47" s="1"/>
  <c r="AB7" i="47"/>
  <c r="X9" i="47"/>
  <c r="V18" i="47" s="1"/>
  <c r="X10" i="47"/>
  <c r="X7" i="47"/>
  <c r="V16" i="47" s="1"/>
  <c r="T10" i="47"/>
  <c r="T7" i="47"/>
  <c r="AC18" i="47" l="1"/>
  <c r="AC16" i="47"/>
  <c r="AD7" i="47"/>
  <c r="Q16" i="47"/>
  <c r="J22" i="30"/>
  <c r="AD10" i="47"/>
  <c r="Q19" i="47"/>
  <c r="S19" i="47" s="1"/>
  <c r="AE10" i="47"/>
  <c r="V19" i="47"/>
  <c r="AF10" i="47"/>
  <c r="AF9" i="47"/>
  <c r="AF7" i="47"/>
  <c r="AB16" i="47"/>
  <c r="AE9" i="47"/>
  <c r="AE7" i="47"/>
  <c r="L22" i="30"/>
  <c r="M22" i="30"/>
  <c r="AG7" i="54"/>
  <c r="AG9" i="54" s="1"/>
  <c r="AA8" i="40"/>
  <c r="Z8" i="40"/>
  <c r="W8" i="40"/>
  <c r="V8" i="40"/>
  <c r="T7" i="39"/>
  <c r="AD7" i="39" s="1"/>
  <c r="Q8" i="39"/>
  <c r="AC19" i="47" l="1"/>
  <c r="S16" i="47"/>
  <c r="X16" i="47"/>
  <c r="Y16" i="47" s="1"/>
  <c r="AG10" i="47"/>
  <c r="X19" i="47"/>
  <c r="AD19" i="47" s="1"/>
  <c r="AG7" i="39"/>
  <c r="AF9" i="54"/>
  <c r="AB11" i="49"/>
  <c r="AF11" i="49" s="1"/>
  <c r="AB10" i="49"/>
  <c r="AF10" i="49" s="1"/>
  <c r="AB9" i="49"/>
  <c r="AF9" i="49" s="1"/>
  <c r="AB8" i="49"/>
  <c r="AF8" i="49" s="1"/>
  <c r="AB7" i="49"/>
  <c r="AF7" i="49" s="1"/>
  <c r="X11" i="49"/>
  <c r="AE11" i="49" s="1"/>
  <c r="X10" i="49"/>
  <c r="AE10" i="49" s="1"/>
  <c r="X9" i="49"/>
  <c r="AE9" i="49" s="1"/>
  <c r="X8" i="49"/>
  <c r="AE8" i="49" s="1"/>
  <c r="X7" i="49"/>
  <c r="AE7" i="49" s="1"/>
  <c r="Y12" i="49"/>
  <c r="Q12" i="49"/>
  <c r="T11" i="49"/>
  <c r="AD11" i="49" s="1"/>
  <c r="T10" i="49"/>
  <c r="T9" i="49"/>
  <c r="AD9" i="49" s="1"/>
  <c r="T8" i="49"/>
  <c r="AD8" i="49" s="1"/>
  <c r="T7" i="49"/>
  <c r="AD7" i="49" s="1"/>
  <c r="AP8" i="51"/>
  <c r="Y10" i="37"/>
  <c r="AB9" i="37"/>
  <c r="AF9" i="37" s="1"/>
  <c r="AB8" i="37"/>
  <c r="AF8" i="37" s="1"/>
  <c r="AB7" i="37"/>
  <c r="AF7" i="37" s="1"/>
  <c r="X7" i="37"/>
  <c r="AE7" i="37" s="1"/>
  <c r="X8" i="37"/>
  <c r="AE8" i="37" s="1"/>
  <c r="X9" i="37"/>
  <c r="AE9" i="37" s="1"/>
  <c r="U10" i="37"/>
  <c r="T9" i="37"/>
  <c r="T8" i="37"/>
  <c r="T7" i="37"/>
  <c r="Q10" i="37"/>
  <c r="BA10" i="36"/>
  <c r="BA16" i="36"/>
  <c r="AB7" i="43"/>
  <c r="Z18" i="43" s="1"/>
  <c r="AE13" i="43"/>
  <c r="Q14" i="43"/>
  <c r="T14" i="43"/>
  <c r="U8" i="46"/>
  <c r="X7" i="46"/>
  <c r="AB7" i="46" s="1"/>
  <c r="T7" i="46"/>
  <c r="AA7" i="46" s="1"/>
  <c r="P7" i="46"/>
  <c r="Q8" i="46"/>
  <c r="M8" i="46"/>
  <c r="AB7" i="44"/>
  <c r="U8" i="44"/>
  <c r="T7" i="44"/>
  <c r="AA7" i="44" s="1"/>
  <c r="Q8" i="44"/>
  <c r="P7" i="44"/>
  <c r="M8" i="44"/>
  <c r="X8" i="44"/>
  <c r="X7" i="45"/>
  <c r="X8" i="45" s="1"/>
  <c r="AA7" i="45"/>
  <c r="P7" i="45"/>
  <c r="P8" i="45" s="1"/>
  <c r="T8" i="45"/>
  <c r="L27" i="30" s="1"/>
  <c r="U8" i="45"/>
  <c r="Q8" i="45"/>
  <c r="M8" i="45"/>
  <c r="M24" i="30"/>
  <c r="AE9" i="41"/>
  <c r="AD9" i="41"/>
  <c r="Y14" i="43"/>
  <c r="U14" i="43"/>
  <c r="AF19" i="47" l="1"/>
  <c r="Y19" i="47"/>
  <c r="Z19" i="47" s="1"/>
  <c r="P8" i="46"/>
  <c r="Z7" i="46"/>
  <c r="Z16" i="47"/>
  <c r="AD16" i="47"/>
  <c r="AF16" i="47" s="1"/>
  <c r="AF9" i="41"/>
  <c r="AF7" i="43"/>
  <c r="Y15" i="49"/>
  <c r="U15" i="49"/>
  <c r="AB15" i="49" s="1"/>
  <c r="Y18" i="49"/>
  <c r="Y16" i="49"/>
  <c r="Y19" i="49"/>
  <c r="Y17" i="49"/>
  <c r="AE7" i="43"/>
  <c r="X24" i="43"/>
  <c r="Y24" i="43" s="1"/>
  <c r="L23" i="30"/>
  <c r="AD10" i="49"/>
  <c r="AP7" i="51"/>
  <c r="Z10" i="51"/>
  <c r="K22" i="30"/>
  <c r="O22" i="30" s="1"/>
  <c r="U16" i="49"/>
  <c r="AB16" i="49" s="1"/>
  <c r="U17" i="49"/>
  <c r="AB17" i="49" s="1"/>
  <c r="U19" i="49"/>
  <c r="AB19" i="49" s="1"/>
  <c r="U18" i="49"/>
  <c r="AB18" i="49" s="1"/>
  <c r="K12" i="30"/>
  <c r="O12" i="30" s="1"/>
  <c r="T15" i="51"/>
  <c r="AI15" i="51" s="1"/>
  <c r="T16" i="51"/>
  <c r="U16" i="51" s="1"/>
  <c r="Z7" i="45"/>
  <c r="K13" i="30"/>
  <c r="O13" i="30" s="1"/>
  <c r="Q16" i="49"/>
  <c r="Q17" i="49"/>
  <c r="AD13" i="43"/>
  <c r="AG13" i="43" s="1"/>
  <c r="Q18" i="49"/>
  <c r="Q15" i="49"/>
  <c r="AA15" i="49" s="1"/>
  <c r="Q19" i="49"/>
  <c r="R19" i="49" s="1"/>
  <c r="X8" i="46"/>
  <c r="AB14" i="43"/>
  <c r="T8" i="44"/>
  <c r="X10" i="37"/>
  <c r="P8" i="44"/>
  <c r="Z7" i="44" s="1"/>
  <c r="AB10" i="37"/>
  <c r="AB12" i="49"/>
  <c r="X12" i="49"/>
  <c r="AB7" i="45"/>
  <c r="AC17" i="49" l="1"/>
  <c r="AD17" i="49" s="1"/>
  <c r="AC15" i="49"/>
  <c r="AC19" i="43"/>
  <c r="X25" i="43"/>
  <c r="Y25" i="43" s="1"/>
  <c r="AC18" i="43"/>
  <c r="AD18" i="43" s="1"/>
  <c r="AE18" i="43" s="1"/>
  <c r="AA17" i="49"/>
  <c r="R17" i="49"/>
  <c r="S17" i="49" s="1"/>
  <c r="AA16" i="49"/>
  <c r="AC16" i="49" s="1"/>
  <c r="AD16" i="49" s="1"/>
  <c r="R16" i="49"/>
  <c r="S16" i="49" s="1"/>
  <c r="AA18" i="49"/>
  <c r="AC18" i="49" s="1"/>
  <c r="AD18" i="49" s="1"/>
  <c r="R18" i="49"/>
  <c r="AD15" i="49"/>
  <c r="AD19" i="43"/>
  <c r="AE19" i="43" s="1"/>
  <c r="AE14" i="43"/>
  <c r="L25" i="30" s="1"/>
  <c r="AD10" i="37"/>
  <c r="AA19" i="49"/>
  <c r="AC19" i="49" s="1"/>
  <c r="AD19" i="49" s="1"/>
  <c r="AI16" i="51"/>
  <c r="AB16" i="51"/>
  <c r="AB15" i="51"/>
  <c r="AD14" i="51"/>
  <c r="AC17" i="51" s="1"/>
  <c r="AE14" i="51" s="1"/>
  <c r="R15" i="49"/>
  <c r="S15" i="49" s="1"/>
  <c r="V15" i="49"/>
  <c r="V17" i="49"/>
  <c r="W17" i="49" s="1"/>
  <c r="S18" i="49"/>
  <c r="V18" i="49"/>
  <c r="W18" i="49" s="1"/>
  <c r="V16" i="49"/>
  <c r="W16" i="49" s="1"/>
  <c r="V19" i="49"/>
  <c r="W19" i="49" s="1"/>
  <c r="V16" i="51"/>
  <c r="V14" i="51"/>
  <c r="AD12" i="49"/>
  <c r="U15" i="51"/>
  <c r="V15" i="51" s="1"/>
  <c r="S19" i="49"/>
  <c r="BD25" i="36"/>
  <c r="AE21" i="43" l="1"/>
  <c r="AD20" i="49"/>
  <c r="J17" i="30" s="1"/>
  <c r="Y27" i="43"/>
  <c r="S20" i="49"/>
  <c r="V17" i="51"/>
  <c r="Q16" i="48"/>
  <c r="Q15" i="48"/>
  <c r="AB15" i="48" s="1"/>
  <c r="Q8" i="40"/>
  <c r="R8" i="40"/>
  <c r="S8" i="40"/>
  <c r="Y8" i="40"/>
  <c r="AC8" i="40"/>
  <c r="S10" i="50" s="1"/>
  <c r="V15" i="48" l="1"/>
  <c r="AD15" i="48"/>
  <c r="V16" i="48"/>
  <c r="W16" i="48" s="1"/>
  <c r="X16" i="48" s="1"/>
  <c r="AB16" i="48"/>
  <c r="R15" i="48"/>
  <c r="S15" i="48" s="1"/>
  <c r="R16" i="48"/>
  <c r="S16" i="48" s="1"/>
  <c r="AG16" i="52"/>
  <c r="AG15" i="52"/>
  <c r="AG11" i="52"/>
  <c r="AG17" i="28" l="1"/>
  <c r="AG16" i="28"/>
  <c r="Z17" i="28"/>
  <c r="AJ17" i="28" s="1"/>
  <c r="Z16" i="28"/>
  <c r="AJ16" i="28" s="1"/>
  <c r="S17" i="28"/>
  <c r="S16" i="28"/>
  <c r="AB16" i="28" s="1"/>
  <c r="AI17" i="28" l="1"/>
  <c r="AB17" i="28"/>
  <c r="AK17" i="28"/>
  <c r="AI16" i="28"/>
  <c r="AK16" i="28" s="1"/>
  <c r="AG19" i="28"/>
  <c r="AC16" i="28"/>
  <c r="U17" i="28"/>
  <c r="AC17" i="28"/>
  <c r="Z19" i="28"/>
  <c r="AD15" i="28" s="1"/>
  <c r="U16" i="28"/>
  <c r="S19" i="28"/>
  <c r="T8" i="46"/>
  <c r="L28" i="30" s="1"/>
  <c r="AK19" i="28" l="1"/>
  <c r="AL15" i="28" s="1"/>
  <c r="J7" i="30" s="1"/>
  <c r="V15" i="28"/>
  <c r="J19" i="30"/>
  <c r="N19" i="30" s="1"/>
  <c r="AC18" i="52"/>
  <c r="Y18" i="52"/>
  <c r="U18" i="52"/>
  <c r="Q18" i="52"/>
  <c r="AK14" i="51"/>
  <c r="AL14" i="51" s="1"/>
  <c r="AO10" i="51"/>
  <c r="S8" i="50" s="1"/>
  <c r="AK10" i="51"/>
  <c r="AJ10" i="51"/>
  <c r="AI10" i="51"/>
  <c r="AD10" i="51"/>
  <c r="AC10" i="51"/>
  <c r="AB10" i="51"/>
  <c r="AA10" i="51"/>
  <c r="W10" i="51"/>
  <c r="V10" i="51"/>
  <c r="U10" i="51"/>
  <c r="T10" i="51"/>
  <c r="AS9" i="51" l="1"/>
  <c r="X18" i="52"/>
  <c r="AE18" i="52"/>
  <c r="AG17" i="52"/>
  <c r="AF18" i="52"/>
  <c r="AG10" i="51"/>
  <c r="AQ10" i="51"/>
  <c r="AR10" i="51"/>
  <c r="AS8" i="51"/>
  <c r="AG9" i="49"/>
  <c r="AG11" i="49"/>
  <c r="AG10" i="49"/>
  <c r="AG7" i="49"/>
  <c r="M19" i="30" l="1"/>
  <c r="Q19" i="30" s="1"/>
  <c r="M18" i="30"/>
  <c r="Q18" i="30" s="1"/>
  <c r="AK16" i="51"/>
  <c r="AL16" i="51" s="1"/>
  <c r="AK15" i="51"/>
  <c r="AL15" i="51" s="1"/>
  <c r="L19" i="30"/>
  <c r="P19" i="30" s="1"/>
  <c r="L18" i="30"/>
  <c r="P18" i="30" s="1"/>
  <c r="AG10" i="52"/>
  <c r="AG7" i="52"/>
  <c r="AC12" i="49"/>
  <c r="F9" i="50" s="1"/>
  <c r="M17" i="30"/>
  <c r="AF12" i="49"/>
  <c r="AE12" i="49"/>
  <c r="U15" i="48"/>
  <c r="AC10" i="48"/>
  <c r="S7" i="50" s="1"/>
  <c r="Y10" i="48"/>
  <c r="Q10" i="48"/>
  <c r="L17" i="30" l="1"/>
  <c r="AE15" i="48"/>
  <c r="AE17" i="48" s="1"/>
  <c r="AF14" i="48" s="1"/>
  <c r="J16" i="30" s="1"/>
  <c r="AL17" i="51"/>
  <c r="AM14" i="51" s="1"/>
  <c r="J18" i="30" s="1"/>
  <c r="N18" i="30" s="1"/>
  <c r="W15" i="48"/>
  <c r="X15" i="48" s="1"/>
  <c r="AG18" i="52"/>
  <c r="AG8" i="49"/>
  <c r="AG12" i="49" s="1"/>
  <c r="K17" i="30" s="1"/>
  <c r="O17" i="30" s="1"/>
  <c r="U10" i="48"/>
  <c r="AD10" i="48"/>
  <c r="T9" i="47"/>
  <c r="AC11" i="47"/>
  <c r="F8" i="50" s="1"/>
  <c r="Y11" i="47"/>
  <c r="U11" i="47"/>
  <c r="Q11" i="47"/>
  <c r="AD9" i="47" l="1"/>
  <c r="AG9" i="47" s="1"/>
  <c r="Q18" i="47"/>
  <c r="S18" i="47" s="1"/>
  <c r="K19" i="30"/>
  <c r="O19" i="30" s="1"/>
  <c r="X11" i="47"/>
  <c r="X10" i="48"/>
  <c r="AG9" i="48"/>
  <c r="AB10" i="48"/>
  <c r="M16" i="30" s="1"/>
  <c r="AF10" i="48"/>
  <c r="T11" i="47"/>
  <c r="AE11" i="47"/>
  <c r="AF11" i="47"/>
  <c r="AB11" i="47"/>
  <c r="AG7" i="47"/>
  <c r="M14" i="30" l="1"/>
  <c r="X18" i="47"/>
  <c r="Q20" i="47"/>
  <c r="T16" i="47" s="1"/>
  <c r="L14" i="30"/>
  <c r="AD11" i="47"/>
  <c r="AG11" i="47"/>
  <c r="K14" i="30" s="1"/>
  <c r="O14" i="30" s="1"/>
  <c r="AG8" i="48"/>
  <c r="AD18" i="47" l="1"/>
  <c r="Y18" i="47"/>
  <c r="Z18" i="47" s="1"/>
  <c r="J14" i="30"/>
  <c r="Y8" i="46"/>
  <c r="Y8" i="45"/>
  <c r="Y8" i="44"/>
  <c r="AC14" i="43"/>
  <c r="Y8" i="42"/>
  <c r="U8" i="42"/>
  <c r="Q8" i="42"/>
  <c r="M8" i="42"/>
  <c r="X7" i="42"/>
  <c r="T7" i="42"/>
  <c r="AA7" i="42" s="1"/>
  <c r="AA8" i="42" s="1"/>
  <c r="P7" i="42"/>
  <c r="Z7" i="42" s="1"/>
  <c r="Z8" i="42" s="1"/>
  <c r="AC9" i="41"/>
  <c r="L10" i="50" s="1"/>
  <c r="Q9" i="41"/>
  <c r="AE8" i="40"/>
  <c r="AD8" i="40"/>
  <c r="J25" i="30" l="1"/>
  <c r="N25" i="30" s="1"/>
  <c r="S12" i="50"/>
  <c r="AF18" i="47"/>
  <c r="AG16" i="47" s="1"/>
  <c r="J21" i="30"/>
  <c r="X8" i="40"/>
  <c r="L21" i="30" s="1"/>
  <c r="T8" i="42"/>
  <c r="T8" i="40"/>
  <c r="AB8" i="40"/>
  <c r="M21" i="30" s="1"/>
  <c r="X8" i="42"/>
  <c r="K23" i="30"/>
  <c r="O23" i="30" s="1"/>
  <c r="P8" i="42"/>
  <c r="K24" i="30" s="1"/>
  <c r="O24" i="30" s="1"/>
  <c r="AA8" i="46"/>
  <c r="AB8" i="46"/>
  <c r="AA8" i="45"/>
  <c r="AB8" i="45"/>
  <c r="L26" i="30"/>
  <c r="AD14" i="43"/>
  <c r="K25" i="30" s="1"/>
  <c r="O25" i="30" s="1"/>
  <c r="Z8" i="46"/>
  <c r="Z8" i="45"/>
  <c r="AA8" i="44"/>
  <c r="Z8" i="44"/>
  <c r="AB8" i="44"/>
  <c r="AF14" i="43"/>
  <c r="AB7" i="42"/>
  <c r="AF8" i="40"/>
  <c r="M25" i="30" l="1"/>
  <c r="Q25" i="30" s="1"/>
  <c r="P25" i="30"/>
  <c r="AG9" i="43"/>
  <c r="AC7" i="46"/>
  <c r="AC8" i="46" s="1"/>
  <c r="AC7" i="45"/>
  <c r="AC8" i="45" s="1"/>
  <c r="AC7" i="44"/>
  <c r="AC8" i="44" s="1"/>
  <c r="O26" i="30" s="1"/>
  <c r="AG7" i="43"/>
  <c r="AC7" i="42"/>
  <c r="AC8" i="42" s="1"/>
  <c r="AB8" i="42"/>
  <c r="AG7" i="41"/>
  <c r="AG9" i="41" s="1"/>
  <c r="AG7" i="40"/>
  <c r="O28" i="30" l="1"/>
  <c r="O27" i="30"/>
  <c r="AG14" i="43"/>
  <c r="AG8" i="40"/>
  <c r="AC8" i="39"/>
  <c r="S9" i="50" s="1"/>
  <c r="U8" i="39"/>
  <c r="CJ8" i="38"/>
  <c r="S6" i="50" s="1"/>
  <c r="CF8" i="38"/>
  <c r="CD8" i="38"/>
  <c r="CC8" i="38"/>
  <c r="CB8" i="38"/>
  <c r="CA8" i="38"/>
  <c r="BZ8" i="38"/>
  <c r="BR8" i="38"/>
  <c r="BQ8" i="38"/>
  <c r="BM8" i="38"/>
  <c r="BK8" i="38"/>
  <c r="BJ8" i="38"/>
  <c r="BD8" i="38"/>
  <c r="BC8" i="38"/>
  <c r="BB8" i="38"/>
  <c r="BA8" i="38"/>
  <c r="AZ8" i="38"/>
  <c r="AC10" i="37"/>
  <c r="BC20" i="36"/>
  <c r="BC26" i="36" s="1"/>
  <c r="BB20" i="36"/>
  <c r="BA20" i="36"/>
  <c r="AZ26" i="36"/>
  <c r="AV26" i="36"/>
  <c r="AU26" i="36"/>
  <c r="AT26" i="36"/>
  <c r="AS26" i="36"/>
  <c r="AR26" i="36"/>
  <c r="AQ26" i="36"/>
  <c r="AM26" i="36"/>
  <c r="AK26" i="36"/>
  <c r="AJ26" i="36"/>
  <c r="AI26" i="36"/>
  <c r="AH26" i="36"/>
  <c r="AG26" i="36"/>
  <c r="X26" i="36"/>
  <c r="M12" i="30" l="1"/>
  <c r="F6" i="50"/>
  <c r="BB26" i="36"/>
  <c r="BA26" i="36"/>
  <c r="K21" i="30"/>
  <c r="O21" i="30" s="1"/>
  <c r="BD18" i="36"/>
  <c r="BD10" i="36"/>
  <c r="L13" i="30"/>
  <c r="AG7" i="37"/>
  <c r="BD17" i="36"/>
  <c r="BD9" i="36"/>
  <c r="BD15" i="36"/>
  <c r="BD21" i="36"/>
  <c r="BD19" i="36"/>
  <c r="BD14" i="36"/>
  <c r="BD13" i="36"/>
  <c r="BD11" i="36"/>
  <c r="BD7" i="36"/>
  <c r="BD20" i="36"/>
  <c r="BD16" i="36"/>
  <c r="BD12" i="36"/>
  <c r="BD8" i="36"/>
  <c r="CI8" i="38"/>
  <c r="M15" i="30" s="1"/>
  <c r="AF8" i="39"/>
  <c r="AB8" i="39"/>
  <c r="M20" i="30" s="1"/>
  <c r="X8" i="39"/>
  <c r="L20" i="30" s="1"/>
  <c r="T8" i="39"/>
  <c r="AD8" i="39"/>
  <c r="AE8" i="39"/>
  <c r="AY8" i="38"/>
  <c r="BP8" i="38"/>
  <c r="L15" i="30" s="1"/>
  <c r="CL8" i="38"/>
  <c r="CK8" i="38"/>
  <c r="CM8" i="38"/>
  <c r="AF10" i="37"/>
  <c r="F7" i="50" s="1"/>
  <c r="AG9" i="37"/>
  <c r="AG8" i="37"/>
  <c r="AY26" i="36"/>
  <c r="BD22" i="36"/>
  <c r="J12" i="30" l="1"/>
  <c r="J20" i="30"/>
  <c r="L12" i="30"/>
  <c r="M13" i="30"/>
  <c r="BD26" i="36"/>
  <c r="Q15" i="30"/>
  <c r="AE10" i="37"/>
  <c r="CN7" i="38"/>
  <c r="CN8" i="38" s="1"/>
  <c r="K15" i="30" s="1"/>
  <c r="O15" i="30" s="1"/>
  <c r="AG10" i="37"/>
  <c r="J13" i="30" l="1"/>
  <c r="C17" i="50"/>
  <c r="AG8" i="39"/>
  <c r="AC8" i="35"/>
  <c r="S13" i="50" s="1"/>
  <c r="Y8" i="35"/>
  <c r="U8" i="35"/>
  <c r="Q8" i="35"/>
  <c r="BP11" i="34"/>
  <c r="BL11" i="34"/>
  <c r="BH11" i="34"/>
  <c r="BF11" i="34"/>
  <c r="BE11" i="34"/>
  <c r="BD11" i="34"/>
  <c r="BC11" i="34"/>
  <c r="AY11" i="34"/>
  <c r="AT11" i="34"/>
  <c r="AS11" i="34"/>
  <c r="AR11" i="34"/>
  <c r="AQ11" i="34"/>
  <c r="AP11" i="34"/>
  <c r="AO11" i="34"/>
  <c r="AF11" i="34"/>
  <c r="G22" i="56" s="1" a="1"/>
  <c r="G22" i="56" s="1"/>
  <c r="AE11" i="34"/>
  <c r="G12" i="56" s="1" a="1"/>
  <c r="G12" i="56" s="1"/>
  <c r="AD11" i="34"/>
  <c r="G18" i="56" s="1" a="1"/>
  <c r="G18" i="56" s="1"/>
  <c r="AC11" i="34"/>
  <c r="G21" i="56" s="1" a="1"/>
  <c r="G21" i="56" s="1"/>
  <c r="AA11" i="34"/>
  <c r="BC16" i="34"/>
  <c r="BG16" i="34" s="1"/>
  <c r="DA8" i="33"/>
  <c r="AN8" i="33"/>
  <c r="AM8" i="33"/>
  <c r="AL8" i="33"/>
  <c r="AK8" i="33"/>
  <c r="BA8" i="32"/>
  <c r="L6" i="50" s="1"/>
  <c r="AW8" i="32"/>
  <c r="AV8" i="32"/>
  <c r="AU8" i="32"/>
  <c r="AT8" i="32"/>
  <c r="AS8" i="32"/>
  <c r="AR8" i="32"/>
  <c r="AQ8" i="32"/>
  <c r="AM8" i="32"/>
  <c r="AL8" i="32"/>
  <c r="AK8" i="32"/>
  <c r="AJ8" i="32"/>
  <c r="AI8" i="32"/>
  <c r="AH8" i="32"/>
  <c r="AG8" i="32"/>
  <c r="AC8" i="32"/>
  <c r="AB8" i="32"/>
  <c r="E24" i="56" s="1" a="1"/>
  <c r="E24" i="56" s="1"/>
  <c r="Z24" i="56" s="1"/>
  <c r="AA8" i="32"/>
  <c r="E23" i="56" s="1" a="1"/>
  <c r="E23" i="56" s="1"/>
  <c r="Z23" i="56" s="1"/>
  <c r="Z8" i="32"/>
  <c r="E22" i="56" s="1" a="1"/>
  <c r="E22" i="56" s="1"/>
  <c r="Y8" i="32"/>
  <c r="E12" i="56" s="1" a="1"/>
  <c r="E12" i="56" s="1"/>
  <c r="X8" i="32"/>
  <c r="E18" i="56" s="1" a="1"/>
  <c r="E18" i="56" s="1"/>
  <c r="W8" i="32"/>
  <c r="E21" i="56" s="1" a="1"/>
  <c r="E21" i="56" s="1"/>
  <c r="J11" i="30" l="1"/>
  <c r="L9" i="50"/>
  <c r="J10" i="30"/>
  <c r="L8" i="50"/>
  <c r="Z12" i="56"/>
  <c r="G4" i="50"/>
  <c r="Z22" i="56"/>
  <c r="Z18" i="56"/>
  <c r="G41" i="56"/>
  <c r="Z21" i="56"/>
  <c r="E41" i="56"/>
  <c r="BC18" i="34"/>
  <c r="BG18" i="34" s="1"/>
  <c r="BT10" i="34"/>
  <c r="BG19" i="34"/>
  <c r="BT8" i="34"/>
  <c r="BC17" i="34"/>
  <c r="BG17" i="34" s="1"/>
  <c r="K20" i="30"/>
  <c r="O20" i="30" s="1"/>
  <c r="X8" i="35"/>
  <c r="AF8" i="35"/>
  <c r="AB8" i="35"/>
  <c r="M9" i="30" s="1"/>
  <c r="Q9" i="30" s="1"/>
  <c r="AD8" i="35"/>
  <c r="AE8" i="35"/>
  <c r="BO11" i="34"/>
  <c r="BB11" i="34"/>
  <c r="BT9" i="34"/>
  <c r="BQ11" i="34"/>
  <c r="K10" i="30" s="1"/>
  <c r="AN11" i="34"/>
  <c r="CZ8" i="33"/>
  <c r="DB8" i="33"/>
  <c r="K11" i="30" s="1"/>
  <c r="BF8" i="33"/>
  <c r="DD8" i="33"/>
  <c r="AZ8" i="32"/>
  <c r="AP8" i="32"/>
  <c r="AF8" i="32"/>
  <c r="BG20" i="34" l="1"/>
  <c r="M11" i="30"/>
  <c r="O11" i="30"/>
  <c r="BS11" i="34"/>
  <c r="BC20" i="34"/>
  <c r="BH16" i="34" s="1"/>
  <c r="AG7" i="35"/>
  <c r="AG8" i="35" s="1"/>
  <c r="BR11" i="34"/>
  <c r="BT7" i="34"/>
  <c r="BT11" i="34" s="1"/>
  <c r="BC8" i="32"/>
  <c r="BD8" i="32"/>
  <c r="BB8" i="32"/>
  <c r="K8" i="30" s="1"/>
  <c r="BE7" i="32"/>
  <c r="M8" i="30" l="1"/>
  <c r="M10" i="30"/>
  <c r="L8" i="30"/>
  <c r="L10" i="30"/>
  <c r="O10" i="30"/>
  <c r="BE8" i="32"/>
  <c r="AF12" i="28" l="1"/>
  <c r="Q28" i="30"/>
  <c r="P28" i="30"/>
  <c r="N28" i="30"/>
  <c r="Q27" i="30"/>
  <c r="P27" i="30"/>
  <c r="N27" i="30"/>
  <c r="Q26" i="30"/>
  <c r="P26" i="30"/>
  <c r="N26" i="30"/>
  <c r="R25" i="30"/>
  <c r="Q24" i="30"/>
  <c r="P24" i="30"/>
  <c r="N24" i="30"/>
  <c r="Q23" i="30"/>
  <c r="P23" i="30"/>
  <c r="N23" i="30"/>
  <c r="Q22" i="30"/>
  <c r="P22" i="30"/>
  <c r="N22" i="30"/>
  <c r="Q21" i="30"/>
  <c r="P21" i="30"/>
  <c r="N21" i="30"/>
  <c r="Q20" i="30"/>
  <c r="P20" i="30"/>
  <c r="N20" i="30"/>
  <c r="Q17" i="30"/>
  <c r="P17" i="30"/>
  <c r="Q16" i="30"/>
  <c r="P16" i="30"/>
  <c r="P15" i="30"/>
  <c r="N15" i="30"/>
  <c r="Q14" i="30"/>
  <c r="P14" i="30"/>
  <c r="N14" i="30"/>
  <c r="Q13" i="30"/>
  <c r="P13" i="30"/>
  <c r="N13" i="30"/>
  <c r="Q12" i="30"/>
  <c r="P12" i="30"/>
  <c r="N12" i="30"/>
  <c r="Q11" i="30"/>
  <c r="N11" i="30"/>
  <c r="Q10" i="30"/>
  <c r="P10" i="30"/>
  <c r="N10" i="30"/>
  <c r="P9" i="30"/>
  <c r="N9" i="30"/>
  <c r="Q8" i="30"/>
  <c r="P8" i="30"/>
  <c r="R8" i="30" l="1"/>
  <c r="R9" i="30"/>
  <c r="R10" i="30"/>
  <c r="R12" i="30"/>
  <c r="R13" i="30"/>
  <c r="R14" i="30"/>
  <c r="R15" i="30"/>
  <c r="R19" i="30"/>
  <c r="R20" i="30"/>
  <c r="R21" i="30"/>
  <c r="R22" i="30"/>
  <c r="R23" i="30"/>
  <c r="R24" i="30"/>
  <c r="R26" i="30"/>
  <c r="R27" i="30"/>
  <c r="R28" i="30"/>
  <c r="AO12" i="28"/>
  <c r="L11" i="50" s="1"/>
  <c r="AH12" i="28"/>
  <c r="AI12" i="28"/>
  <c r="AJ12" i="28"/>
  <c r="AK12" i="28"/>
  <c r="AG12" i="28"/>
  <c r="AA12" i="28"/>
  <c r="AB12" i="28"/>
  <c r="AC12" i="28"/>
  <c r="Z12" i="28"/>
  <c r="AN12" i="28" l="1"/>
  <c r="AS7" i="28" l="1"/>
  <c r="AP11" i="28"/>
  <c r="AP12" i="28" l="1"/>
  <c r="K7" i="30" s="1"/>
  <c r="AR11" i="28" l="1"/>
  <c r="AQ11" i="28"/>
  <c r="AS8" i="28"/>
  <c r="AS9" i="28" l="1"/>
  <c r="AS11" i="28"/>
  <c r="AQ12" i="28"/>
  <c r="AR12" i="28"/>
  <c r="M7" i="30" l="1"/>
  <c r="L7" i="30"/>
  <c r="AS12" i="28"/>
  <c r="O7" i="30" s="1"/>
  <c r="Q68" i="1"/>
  <c r="P68" i="1"/>
  <c r="O68" i="1"/>
  <c r="N68" i="1"/>
  <c r="Q67" i="1"/>
  <c r="P67" i="1"/>
  <c r="O67" i="1"/>
  <c r="N67" i="1"/>
  <c r="Q66" i="1"/>
  <c r="P66" i="1"/>
  <c r="O66" i="1"/>
  <c r="N66" i="1"/>
  <c r="Q65" i="1"/>
  <c r="P65" i="1"/>
  <c r="O65" i="1"/>
  <c r="N65" i="1"/>
  <c r="Q64" i="1"/>
  <c r="P64" i="1"/>
  <c r="O64" i="1"/>
  <c r="N64" i="1"/>
  <c r="Q63" i="1"/>
  <c r="P63" i="1"/>
  <c r="O63" i="1"/>
  <c r="N63" i="1"/>
  <c r="Q62" i="1"/>
  <c r="P62" i="1"/>
  <c r="O62" i="1"/>
  <c r="N62" i="1"/>
  <c r="R62" i="1" s="1"/>
  <c r="Q61" i="1"/>
  <c r="P61" i="1"/>
  <c r="O61" i="1"/>
  <c r="N61" i="1"/>
  <c r="Q60" i="1"/>
  <c r="P60" i="1"/>
  <c r="O60" i="1"/>
  <c r="N60" i="1"/>
  <c r="Q59" i="1"/>
  <c r="P59" i="1"/>
  <c r="O59" i="1"/>
  <c r="N59" i="1"/>
  <c r="Q58" i="1"/>
  <c r="P58" i="1"/>
  <c r="O58" i="1"/>
  <c r="N58" i="1"/>
  <c r="Q57" i="1"/>
  <c r="P57" i="1"/>
  <c r="O57" i="1"/>
  <c r="N57" i="1"/>
  <c r="Q56" i="1"/>
  <c r="P56" i="1"/>
  <c r="O56" i="1"/>
  <c r="N56" i="1"/>
  <c r="Q55" i="1"/>
  <c r="P55" i="1"/>
  <c r="O55" i="1"/>
  <c r="N55" i="1"/>
  <c r="Q54" i="1"/>
  <c r="P54" i="1"/>
  <c r="O54" i="1"/>
  <c r="N54" i="1"/>
  <c r="Q53" i="1"/>
  <c r="P53" i="1"/>
  <c r="O53" i="1"/>
  <c r="N53" i="1"/>
  <c r="Q52" i="1"/>
  <c r="P52" i="1"/>
  <c r="O52" i="1"/>
  <c r="N52" i="1"/>
  <c r="Q51" i="1"/>
  <c r="P51" i="1"/>
  <c r="O51" i="1"/>
  <c r="N51" i="1"/>
  <c r="Q50" i="1"/>
  <c r="P50" i="1"/>
  <c r="O50" i="1"/>
  <c r="N50" i="1"/>
  <c r="Q49" i="1"/>
  <c r="P49" i="1"/>
  <c r="O49" i="1"/>
  <c r="N49" i="1"/>
  <c r="Q48" i="1"/>
  <c r="P48" i="1"/>
  <c r="O48" i="1"/>
  <c r="N48" i="1"/>
  <c r="Q47" i="1"/>
  <c r="P47" i="1"/>
  <c r="O47" i="1"/>
  <c r="N47" i="1"/>
  <c r="Q46" i="1"/>
  <c r="P46" i="1"/>
  <c r="O46" i="1"/>
  <c r="N46" i="1"/>
  <c r="Q45" i="1"/>
  <c r="P45" i="1"/>
  <c r="O45" i="1"/>
  <c r="N45" i="1"/>
  <c r="Q44" i="1"/>
  <c r="P44" i="1"/>
  <c r="O44" i="1"/>
  <c r="N44" i="1"/>
  <c r="Q43" i="1"/>
  <c r="P43" i="1"/>
  <c r="O43" i="1"/>
  <c r="N43" i="1"/>
  <c r="Q42" i="1"/>
  <c r="P42" i="1"/>
  <c r="O42" i="1"/>
  <c r="N42" i="1"/>
  <c r="Q41" i="1"/>
  <c r="P41" i="1"/>
  <c r="O41" i="1"/>
  <c r="N41" i="1"/>
  <c r="Q40" i="1"/>
  <c r="P40" i="1"/>
  <c r="O40" i="1"/>
  <c r="N40" i="1"/>
  <c r="Q39" i="1"/>
  <c r="P39" i="1"/>
  <c r="O39" i="1"/>
  <c r="N39" i="1"/>
  <c r="Q38" i="1"/>
  <c r="P38" i="1"/>
  <c r="O38" i="1"/>
  <c r="N38" i="1"/>
  <c r="Q37" i="1"/>
  <c r="P37" i="1"/>
  <c r="O37" i="1"/>
  <c r="N37" i="1"/>
  <c r="Q36" i="1"/>
  <c r="P36" i="1"/>
  <c r="O36" i="1"/>
  <c r="N36" i="1"/>
  <c r="Q35" i="1"/>
  <c r="P35" i="1"/>
  <c r="O35" i="1"/>
  <c r="N35" i="1"/>
  <c r="Q34" i="1"/>
  <c r="P34" i="1"/>
  <c r="O34" i="1"/>
  <c r="N34" i="1"/>
  <c r="Q33" i="1"/>
  <c r="P33" i="1"/>
  <c r="O33" i="1"/>
  <c r="N33" i="1"/>
  <c r="Q32" i="1"/>
  <c r="P32" i="1"/>
  <c r="O32" i="1"/>
  <c r="N32" i="1"/>
  <c r="Q31" i="1"/>
  <c r="P31" i="1"/>
  <c r="O31" i="1"/>
  <c r="N31" i="1"/>
  <c r="Q30" i="1"/>
  <c r="P30" i="1"/>
  <c r="O30" i="1"/>
  <c r="N30" i="1"/>
  <c r="Q29" i="1"/>
  <c r="P29" i="1"/>
  <c r="O29" i="1"/>
  <c r="N29" i="1"/>
  <c r="Q28" i="1"/>
  <c r="P28" i="1"/>
  <c r="O28" i="1"/>
  <c r="N28" i="1"/>
  <c r="Q27" i="1"/>
  <c r="P27" i="1"/>
  <c r="O27" i="1"/>
  <c r="N27" i="1"/>
  <c r="Q26" i="1"/>
  <c r="P26" i="1"/>
  <c r="O26" i="1"/>
  <c r="N26" i="1"/>
  <c r="Q25" i="1"/>
  <c r="P25" i="1"/>
  <c r="O25" i="1"/>
  <c r="N25" i="1"/>
  <c r="Q24" i="1"/>
  <c r="P24" i="1"/>
  <c r="O24" i="1"/>
  <c r="N24" i="1"/>
  <c r="Q23" i="1"/>
  <c r="P23" i="1"/>
  <c r="O23" i="1"/>
  <c r="N23" i="1"/>
  <c r="Q22" i="1"/>
  <c r="P22" i="1"/>
  <c r="O22" i="1"/>
  <c r="N22" i="1"/>
  <c r="Q21" i="1"/>
  <c r="P21" i="1"/>
  <c r="O21" i="1"/>
  <c r="N21" i="1"/>
  <c r="Q20" i="1"/>
  <c r="P20" i="1"/>
  <c r="O20" i="1"/>
  <c r="N20" i="1"/>
  <c r="Q19" i="1"/>
  <c r="P19" i="1"/>
  <c r="O19" i="1"/>
  <c r="N19" i="1"/>
  <c r="Q18" i="1"/>
  <c r="P18" i="1"/>
  <c r="O18" i="1"/>
  <c r="N18" i="1"/>
  <c r="Q17" i="1"/>
  <c r="P17" i="1"/>
  <c r="O17" i="1"/>
  <c r="N17" i="1"/>
  <c r="Q16" i="1"/>
  <c r="P16" i="1"/>
  <c r="O16" i="1"/>
  <c r="N16" i="1"/>
  <c r="Q15" i="1"/>
  <c r="P15" i="1"/>
  <c r="O15" i="1"/>
  <c r="N15" i="1"/>
  <c r="Q14" i="1"/>
  <c r="P14" i="1"/>
  <c r="O14" i="1"/>
  <c r="N14" i="1"/>
  <c r="Q13" i="1"/>
  <c r="P13" i="1"/>
  <c r="O13" i="1"/>
  <c r="N13" i="1"/>
  <c r="Q12" i="1"/>
  <c r="P12" i="1"/>
  <c r="O12" i="1"/>
  <c r="N12" i="1"/>
  <c r="Q11" i="1"/>
  <c r="P11" i="1"/>
  <c r="O11" i="1"/>
  <c r="N11" i="1"/>
  <c r="Q10" i="1"/>
  <c r="P10" i="1"/>
  <c r="O10" i="1"/>
  <c r="N10" i="1"/>
  <c r="Q9" i="1"/>
  <c r="P9" i="1"/>
  <c r="O9" i="1"/>
  <c r="N9" i="1"/>
  <c r="Q8" i="1"/>
  <c r="P8" i="1"/>
  <c r="O8" i="1"/>
  <c r="N8" i="1"/>
  <c r="Q7" i="1"/>
  <c r="P7" i="1"/>
  <c r="N7" i="1"/>
  <c r="Q7" i="30" l="1"/>
  <c r="Q29" i="30" s="1"/>
  <c r="M29" i="30"/>
  <c r="P7" i="30"/>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7" i="30" l="1"/>
  <c r="R69" i="1"/>
  <c r="AP10" i="51" l="1"/>
  <c r="AS7" i="51"/>
  <c r="AS10" i="51" s="1"/>
  <c r="K18" i="30" s="1"/>
  <c r="O18" i="30" s="1"/>
  <c r="AG7" i="48"/>
  <c r="AG10" i="48" s="1"/>
  <c r="K16" i="30" s="1"/>
  <c r="O16" i="30" s="1"/>
  <c r="Q14" i="48"/>
  <c r="AB14" i="48" s="1"/>
  <c r="C19" i="50" l="1"/>
  <c r="R14" i="48"/>
  <c r="S14" i="48" s="1"/>
  <c r="S17" i="48" s="1"/>
  <c r="V14" i="48"/>
  <c r="W14" i="48" s="1"/>
  <c r="X14" i="48" s="1"/>
  <c r="X17" i="48" s="1"/>
  <c r="Y14" i="48" s="1"/>
  <c r="K29" i="30"/>
  <c r="R18" i="30"/>
  <c r="N16" i="30" l="1"/>
  <c r="R16" i="30" s="1"/>
  <c r="V4" i="50"/>
  <c r="O29" i="30" l="1"/>
  <c r="W15" i="49" l="1"/>
  <c r="W20" i="49" s="1"/>
  <c r="N17" i="30" s="1"/>
  <c r="R17" i="30" l="1"/>
  <c r="N29" i="30"/>
  <c r="CZ33" i="33" l="1"/>
  <c r="DC8" i="33" l="1"/>
  <c r="CC8" i="33"/>
  <c r="L11" i="30" l="1"/>
  <c r="DE7" i="33"/>
  <c r="DE8" i="33" s="1"/>
  <c r="P11" i="30" l="1"/>
  <c r="L29" i="30"/>
  <c r="N4" i="50"/>
  <c r="T15" i="50"/>
  <c r="C18" i="50"/>
  <c r="D16" i="50" s="1"/>
  <c r="R11" i="30" l="1"/>
  <c r="R29" i="30" s="1"/>
  <c r="P2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CALIDAD03</author>
  </authors>
  <commentList>
    <comment ref="M7" authorId="0" shapeId="0" xr:uid="{00000000-0006-0000-1600-000001000000}">
      <text>
        <r>
          <rPr>
            <b/>
            <sz val="9"/>
            <color indexed="81"/>
            <rFont val="Tahoma"/>
            <family val="2"/>
          </rPr>
          <t>CALIDAD03:</t>
        </r>
        <r>
          <rPr>
            <sz val="9"/>
            <color indexed="81"/>
            <rFont val="Tahoma"/>
            <family val="2"/>
          </rPr>
          <t xml:space="preserve">
Debido a la transición de cargo de coordinador que esta sucediendo en el proceso de Gestión farmaceutica, y no contar con una entrega de información óptima, para este trimestre no es posible realizar por parte del responsable de POA, seguimiento al cumplimiento de las actividades programadas en el plan de Trabajo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<sst xmlns="http://schemas.openxmlformats.org/spreadsheetml/2006/main" count="3172" uniqueCount="856">
  <si>
    <t>ESE HOSPITAL UNIVERSITARIO SAN RAFAEL DE TUNJA</t>
  </si>
  <si>
    <t>PILAR O EJE DE PLAN DE DESARROLLO</t>
  </si>
  <si>
    <t xml:space="preserve">PROGRAMA ESTRÁTEGICO </t>
  </si>
  <si>
    <t>OBJETIVO ESTRÁTEGICO</t>
  </si>
  <si>
    <t>META PERIODO</t>
  </si>
  <si>
    <t xml:space="preserve">META VIGENCIA </t>
  </si>
  <si>
    <t>NOMBRE INDICADOR</t>
  </si>
  <si>
    <t xml:space="preserve">INDICADOR / FÓRMULA </t>
  </si>
  <si>
    <t>META INDICADOR</t>
  </si>
  <si>
    <t xml:space="preserve">REPONSABLE </t>
  </si>
  <si>
    <t>RESULTADOS CUMPLIMIENTO POR TRIMESTRE</t>
  </si>
  <si>
    <t>AVANCES  SEGÚN  CUMPLIMIENTO DE META</t>
  </si>
  <si>
    <t>RESULTADO 1 ER TRIMESTRE</t>
  </si>
  <si>
    <t>RESULTADO 2 DO TRIMESTRE</t>
  </si>
  <si>
    <t>RESULTADO 3ER TRIMESTRE</t>
  </si>
  <si>
    <t>RESULTADO 4TO TRIMESTRE</t>
  </si>
  <si>
    <t xml:space="preserve">            
   1er TRIMESTRE</t>
  </si>
  <si>
    <t>2o  TRIMESTRE</t>
  </si>
  <si>
    <t xml:space="preserve"> 3er 
TRIMESTRE</t>
  </si>
  <si>
    <t xml:space="preserve"> 4o 
TRIMESTRE</t>
  </si>
  <si>
    <t>AVANCE ACUMULADO</t>
  </si>
  <si>
    <t>HUMANIZACIÓN DE LOS SERVICIOS SALUD</t>
  </si>
  <si>
    <t>Programa de Humanización que involucre la sensibilización del talento humano con enfoque tanto para cliente interno y externo.</t>
  </si>
  <si>
    <t>Humanizar la atención como cultura de servicio y buen trato al Usuario y su familia</t>
  </si>
  <si>
    <t>Programa de Humanización implementado cliente interno y externo</t>
  </si>
  <si>
    <t>Adherencia al buen trato (UCI´s, Hospitalización, Urgencias)</t>
  </si>
  <si>
    <t>Número de ítems de la lista que se cumple / Total de ítems evaluados en el mismo periodo</t>
  </si>
  <si>
    <t>Coordinador Humanización</t>
  </si>
  <si>
    <t>Cobertura del programa de espacios de esparcimiento  a colaboradores</t>
  </si>
  <si>
    <t>Número de áreas impactadas / Número Total de áreas</t>
  </si>
  <si>
    <t>Gestión y Seguimiento intrahospitalario y Pos Egreso</t>
  </si>
  <si>
    <t>Número de Llamadas de Seguimiento a los Pacientes y sus Familias / Total de pacientes registrados en el periodo</t>
  </si>
  <si>
    <t>Seguimiento a las Intervenciones de las acciones priorizadas</t>
  </si>
  <si>
    <t>Número de ítems intervenidos / Número de ítems que no se cumplen</t>
  </si>
  <si>
    <t>ATENCIÓN CENTRADA EN EL USUARIO</t>
  </si>
  <si>
    <t>Modelo de atención articulado con los procesos institucionales, generando una implementación oportuna, pertinente, segura e integral para el Usuario y su familia.</t>
  </si>
  <si>
    <t>Consolidar un modelo de gestión y de prestación integral en la atención, que genere valor para el usuario y su familia.</t>
  </si>
  <si>
    <t>Implementación, Evaluación y Cumplimiento del Modelo con enfoque de Atención Primaria en Salud.</t>
  </si>
  <si>
    <t>Cumplimiento Global del modelo Gestión Clínica</t>
  </si>
  <si>
    <t>Total Indicadores que Superan la Meta / Total Indicadores del Programa por Vigencia</t>
  </si>
  <si>
    <t>Coordinador Clinicas Quirúgicas</t>
  </si>
  <si>
    <t>Cumplimiento Global del modelo Gestión Quirúrgica</t>
  </si>
  <si>
    <t>Cumplimiento Global del modelo Gestión Urgencias</t>
  </si>
  <si>
    <t>Cumplimiento Global del modelo Gestión UCI Adultos</t>
  </si>
  <si>
    <t>Cumplimiento Global del modelo Gestión UCI Pediátrica</t>
  </si>
  <si>
    <t>Cumplimiento Global del modelo Gestión UCI Neonatal</t>
  </si>
  <si>
    <t>Cumplimiento Global del modelo Gestión Consulta Externa y Servicios de Apoyo</t>
  </si>
  <si>
    <t>Cumplimiento Global del modelo Sede María Josefa Canelones</t>
  </si>
  <si>
    <t>GESTIÓN CLINICA EXCELENTE Y SEGURA</t>
  </si>
  <si>
    <t>Programa Gestión y minimización de los riesgos asociados a la atención en salud.</t>
  </si>
  <si>
    <t>Apropiar el proceso de acreditación en salud en los procesos organizacionales para fortalecer su mejora y cumplimiento</t>
  </si>
  <si>
    <t>Resultado autoevaluación con respecto a la vigencia anterior</t>
  </si>
  <si>
    <t>Resultado de la comparación entre 1,11 y 1,19</t>
  </si>
  <si>
    <t>Programa de Seguridad del Paciente implementado bajo el enfoque de adaptación y mitigación de riesgos</t>
  </si>
  <si>
    <t xml:space="preserve">Coordinador Seguridad del Paciente </t>
  </si>
  <si>
    <t>GESTION DE SERVICIOS</t>
  </si>
  <si>
    <t>Fortalecer y ampliar la integralidad en la prestación de servicios de salud de alta complejidad, articulados con redes integradas de atención y comunidad.</t>
  </si>
  <si>
    <t>Programa integralidad de alta complejidad y seguimiento comunitario.</t>
  </si>
  <si>
    <t>Implementación y evaluación del Programa integralidad de alta complejidad y seguimiento comunitario.</t>
  </si>
  <si>
    <t>Proyecto unidad de cancerología - fase 1</t>
  </si>
  <si>
    <t>Programa de rehabilitación pulmonar</t>
  </si>
  <si>
    <t>Programa clínica de osteoporosis</t>
  </si>
  <si>
    <t>Programa clínica de obesidad</t>
  </si>
  <si>
    <t>Programa de pie diabético</t>
  </si>
  <si>
    <t>Programa hospital seguro contra la trombosis</t>
  </si>
  <si>
    <t>Programa clínica de anticoagulación</t>
  </si>
  <si>
    <t>Programa de donación de órganos</t>
  </si>
  <si>
    <t>Comité de bioética</t>
  </si>
  <si>
    <t>Laboratorio de pruebas de función pulmonar</t>
  </si>
  <si>
    <t>Programa de accesos vasculares</t>
  </si>
  <si>
    <t>Retinología</t>
  </si>
  <si>
    <t>Programa de extensión comunitaria</t>
  </si>
  <si>
    <t>Microcirugía</t>
  </si>
  <si>
    <t>Endocrinología pediátrica</t>
  </si>
  <si>
    <t>Neumología pediátrica</t>
  </si>
  <si>
    <t>Psiquiatría infantil</t>
  </si>
  <si>
    <t>GESTIÓN DEL RIESGO</t>
  </si>
  <si>
    <t>Garantizar la gestión de los recursos que contribuyan a la competitividad y sostenibilidad de la organización.</t>
  </si>
  <si>
    <t>Programa de gestión institucional de los recursos financieros (PEGIF)</t>
  </si>
  <si>
    <t>Cumplimiento del Programa de Gestión Institucional de los Recursos Financieros</t>
  </si>
  <si>
    <t>Cumplimiento del programa de gestión institucional de los recursos financieros</t>
  </si>
  <si>
    <t>Coordinador Financiero</t>
  </si>
  <si>
    <t>Programa Gestión de Sistema de Costos</t>
  </si>
  <si>
    <t>Cumplimiento del Programa Gestión de Sistema de Costos</t>
  </si>
  <si>
    <t>Cumplimiento del Programa de Costos</t>
  </si>
  <si>
    <t>Fortalecimiento de la gestión del riesgo y prevención del daño antijurídico de la entidad</t>
  </si>
  <si>
    <t>Cumplimiento del programa de prevención del daño antijurídico</t>
  </si>
  <si>
    <t xml:space="preserve">No Adherencia a guías y /o protocolos </t>
  </si>
  <si>
    <t>Número de demandas asociadas a lo No Adherencia a las guías de manejo clínico  / Número total de demandas presentadas en la vigencia</t>
  </si>
  <si>
    <t>Asesor Jurídico</t>
  </si>
  <si>
    <t>Eventos Adversos</t>
  </si>
  <si>
    <t>Número de demandas asociadas a eventos adversos / Número total de demandas presentadas en la vigencia</t>
  </si>
  <si>
    <t>No reconocimiento de los derechos laborales por el tipo de vinculación laboral o contractual</t>
  </si>
  <si>
    <t>Número de demandas interpuestas por derechos laborales / Número total de demandas presentadas en la vigencia</t>
  </si>
  <si>
    <t>Programa de Gestión y Desempeño Institucional</t>
  </si>
  <si>
    <t>Índice de Desempeño Institucional</t>
  </si>
  <si>
    <t>&gt; Resultado año anterior</t>
  </si>
  <si>
    <t>Índice de Desempeño</t>
  </si>
  <si>
    <t>Mayor al Índice de Desempeño del año anterior</t>
  </si>
  <si>
    <t>Profesional de Planeación</t>
  </si>
  <si>
    <t>N/A</t>
  </si>
  <si>
    <t>GESTIÓN DE TECNOLOGIA PARA LA PRESTACION DE SERVICIOS DE SALUD HUMANIZADOS Y SEGUROS</t>
  </si>
  <si>
    <t>Fortalecer la gestión tecnológica.</t>
  </si>
  <si>
    <t>Programa de gestión de integración del sistema de información.</t>
  </si>
  <si>
    <t>Cumplimiento del Programa de integración del sistema de información</t>
  </si>
  <si>
    <t>Proyectos TI Implementados</t>
  </si>
  <si>
    <t xml:space="preserve">Número de proyectos ejecutados en a vigencia y que corresponden al periodo de medición según lo planeado / Número Total de proyectos planeados a ejecutar en la vigencia </t>
  </si>
  <si>
    <t>Coordinador TIC´s</t>
  </si>
  <si>
    <t>Cumplimiento de Actividades del Programa</t>
  </si>
  <si>
    <t xml:space="preserve">Número de actividades ejecutadas en la vigencia y que corresponden al periodo de medición según lo planeado / Número Total de actividades planeadas a ejecutar en la vigencia </t>
  </si>
  <si>
    <t xml:space="preserve">Integraciones Realizadas </t>
  </si>
  <si>
    <t xml:space="preserve">Número de integraciones mayor o igual a uno (1) en la vigencia </t>
  </si>
  <si>
    <t>&gt;= 1</t>
  </si>
  <si>
    <t>Programa de adecuación y mejoramiento de infraestructura física</t>
  </si>
  <si>
    <t>Cumplimiento del Programa de Construcción, adecuación y/o mejoramiento infraestructura física</t>
  </si>
  <si>
    <t>Ejecución de Actividades de mantenimiento correctivo</t>
  </si>
  <si>
    <t>Número de actividades ejecutadas / Número de actividades solicitadas</t>
  </si>
  <si>
    <t>Coordinador de Mantenimiento</t>
  </si>
  <si>
    <t>Ejecución de Actividades de mantenimiento preventivo</t>
  </si>
  <si>
    <t>Número de actividades ejecutadas del plan de mantenimiento / Número de actividades programadas</t>
  </si>
  <si>
    <t>Porcentaje avance obra (Construcción)</t>
  </si>
  <si>
    <t>Avance real / Avance proyectado</t>
  </si>
  <si>
    <t>Porcentaje avance obra (Adecuación)</t>
  </si>
  <si>
    <t>Porcentaje avance obra (Mejoramiento)</t>
  </si>
  <si>
    <t>Programa de Gestión Tecnológica
y Dotación hospitalaria</t>
  </si>
  <si>
    <t>Cumplimiento del Programa de
Gestión de tecnología y dotación
Hospitalaria.</t>
  </si>
  <si>
    <t xml:space="preserve"> Disminución de Mantenimientos Correctivos Implementando las Listas de Chequeo Diarias</t>
  </si>
  <si>
    <t>Mantenimientos Correctivos /  Mantenimientos Predictivos</t>
  </si>
  <si>
    <t>≤50%</t>
  </si>
  <si>
    <t>Coordinador Biomédica</t>
  </si>
  <si>
    <t>Gestión de Dotación Hospitalaria</t>
  </si>
  <si>
    <t xml:space="preserve">Número de dotación hospitalaria gestionado ante comité Directivo / Número de dotación hospitalaria aprobada para adquisición </t>
  </si>
  <si>
    <t>&gt;=80%</t>
  </si>
  <si>
    <t>Gestión de tecnología Biomédica</t>
  </si>
  <si>
    <t xml:space="preserve">Número de equipos gestionados ante comité Directivo  / Número de equipos aprobados para adquisición   </t>
  </si>
  <si>
    <t>TRANSFORMACIÓN CULTURAL
PERMANENTE.</t>
  </si>
  <si>
    <t>Generar líneas de desarrollo humano que impacten en la calidad de la atención del usuario y su familia.</t>
  </si>
  <si>
    <t>Programa de Gestión integral y
bienestar del talento humano que
impacten en la calidad de la
atención del usuario y su familia.</t>
  </si>
  <si>
    <t>Cumplimiento Programa de
Gestión Integral y Bienestar del
Talento Humano que impacten en
la calidad de la atención del
usuario y su familia.</t>
  </si>
  <si>
    <t xml:space="preserve">Cumplimiento Programa de Gestión Integral y Bienestar de Talento Humano </t>
  </si>
  <si>
    <t xml:space="preserve">Promedio porcentual de cumplimiento de indicadores / Total de indicadores del Programa </t>
  </si>
  <si>
    <t>&gt;=90%</t>
  </si>
  <si>
    <t>Coordinador Actividades Talento Humano</t>
  </si>
  <si>
    <t>Estrategia “Construyendo en Familia para Trabajar con el Alma”</t>
  </si>
  <si>
    <t>Número de colaboradores asistentes a los proceso formativos  / Total de colaboradors que confirme participación</t>
  </si>
  <si>
    <t>RESPONSABILIDAD
SOCIAL</t>
  </si>
  <si>
    <t>Asegurar la competitividad
y posicionamiento de la
institución</t>
  </si>
  <si>
    <t>Sistema de Gestion Ambiental</t>
  </si>
  <si>
    <t>Cumplimiento de los requisitos de
la norma ISO 14001:2015</t>
  </si>
  <si>
    <t>Mantener la Certificación</t>
  </si>
  <si>
    <t>Certificado ISO 14001:2015</t>
  </si>
  <si>
    <t>Coordinador Gestión Ambiental</t>
  </si>
  <si>
    <t>Sistema de Gestión en Seguridad
y Salud en el Trabajo</t>
  </si>
  <si>
    <t>Cumplimiento de los requisitos de
la norma ISO 45001:2018</t>
  </si>
  <si>
    <t>Obetner la Certificación</t>
  </si>
  <si>
    <t>Certificado ISO 45001:2015</t>
  </si>
  <si>
    <t>Coordinador  Seguridad y Salud en el Trabajo</t>
  </si>
  <si>
    <t>Sistema de Gestión de la Calidad</t>
  </si>
  <si>
    <t>Cumplimiento de los requisitos de
la norma ISO 9001:2015</t>
  </si>
  <si>
    <t>Certificado ISO 9001:2015</t>
  </si>
  <si>
    <t>Coordinador Calidad</t>
  </si>
  <si>
    <t>Buenas practicas de elaboración</t>
  </si>
  <si>
    <t>Cumplimiento de requisitos de
Buenas practicas de elaboración</t>
  </si>
  <si>
    <t>Certificado BPE</t>
  </si>
  <si>
    <t>Coordinador Farmacia</t>
  </si>
  <si>
    <t>Cumplimiento de requisitos de
Buenas practicas de manufactura</t>
  </si>
  <si>
    <t>Certificado BPM</t>
  </si>
  <si>
    <t>GESTIÓN DEL CONOCIMIENTO E INNOVACIÓN</t>
  </si>
  <si>
    <t>Contribuir a la consolidación de Hospital Universitario mediante la  estión del conocimiento, innovación y desarrollo comunitario.</t>
  </si>
  <si>
    <t>Proyectos de investigación competitiva a nivel regional y Nacional impactando
positivamente el Fortalecimiento de la E.S.E Hospital Universitario San Rafael De Tunja y su zona de influencia.</t>
  </si>
  <si>
    <t>Cumplimiento de Programa de
Investigación, Docencia e
Innovación</t>
  </si>
  <si>
    <t>Productos de investigación para someter a revista</t>
  </si>
  <si>
    <t xml:space="preserve">Número de proyectos para someterse a revista  / Número de proyectos aprobados por comité </t>
  </si>
  <si>
    <t>Incremento 1% anual</t>
  </si>
  <si>
    <t>Coordinador Gestión Académica</t>
  </si>
  <si>
    <t xml:space="preserve">Satisfacción del personal en formación internado </t>
  </si>
  <si>
    <t>Número de estudiantes satisfechos  / Total de estudiantes que diligencian la encuesta</t>
  </si>
  <si>
    <t>Adherencia a los Syllabus de rotación</t>
  </si>
  <si>
    <t xml:space="preserve">Número de temas revisados en los Syllabus de rotación    / Número total de temas planteados en los Syllabus de rotación </t>
  </si>
  <si>
    <t>Adherencia a programación de turnos o planes de programación</t>
  </si>
  <si>
    <t>Número de planes o programas  /  Total de especialidades en los que rotan internos</t>
  </si>
  <si>
    <t>Fortalecer líneas de investigación institucional</t>
  </si>
  <si>
    <t>Implementación de las líneas de
investigación</t>
  </si>
  <si>
    <t>Realizar eventos de asistencia masiva en actividades como simposios y  congresos</t>
  </si>
  <si>
    <t>Numero de Congresos</t>
  </si>
  <si>
    <t>Congresos por vigencia</t>
  </si>
  <si>
    <t>Numero de Congresos en la vigencia</t>
  </si>
  <si>
    <t>Desarrollar alianzas estratégicas que permitan fortalecer las líneas de investigación de los grupos de
investigación.</t>
  </si>
  <si>
    <t>Numero de Alianzas estratégicas
consolidadas</t>
  </si>
  <si>
    <t>Numero de Alianzas estratégicas
consolidadas por vigencia</t>
  </si>
  <si>
    <t xml:space="preserve">Numero de Alianzas estratégicas  en la vigencia </t>
  </si>
  <si>
    <t>PLAN OPERATIVO INSTITUCIONAL</t>
  </si>
  <si>
    <t>CODIGO: OADS-F-03</t>
  </si>
  <si>
    <t>INICIO</t>
  </si>
  <si>
    <t>LÍNEA ESTRÁTEGICA</t>
  </si>
  <si>
    <t>PROGRAMAS  ESTRÁTEGICO</t>
  </si>
  <si>
    <t>ACTIVIDADES</t>
  </si>
  <si>
    <t>OBSERVACIONES</t>
  </si>
  <si>
    <t>AVANCE                1 TRIMESTRE</t>
  </si>
  <si>
    <t>AVANCE 2  TRIMESTRE</t>
  </si>
  <si>
    <t>AVANCE 3 TRIMESTRE</t>
  </si>
  <si>
    <t>AVANCE   4 TRIMESTRE</t>
  </si>
  <si>
    <t>Observaciones 1 Trimestre</t>
  </si>
  <si>
    <t>Observaciones 2 Trimestre</t>
  </si>
  <si>
    <t>Observaciones 3 Trimestre</t>
  </si>
  <si>
    <t>Observaciones 4 Trimestre</t>
  </si>
  <si>
    <t>Humanización de los Servicios de Salud</t>
  </si>
  <si>
    <t>Humanizar la atención      como cultura de servicio y buen trato al Usuario y su familia</t>
  </si>
  <si>
    <t>Fortalecimiento de la cultura de servicio y buen trato a través de la implementación del programa de humanización de los servicios ofertados por el HUSRT.</t>
  </si>
  <si>
    <t>Programa de Humanización  que involucre la sensibilización del talento humano con enfoque tanto para cliente interno y externo.</t>
  </si>
  <si>
    <t>Socializar, implementar y evaluar el programa de humanización del servicio.</t>
  </si>
  <si>
    <t>Total Indicadores que cumplen la Meta / Total Indicadores del Programa por Vigencia</t>
  </si>
  <si>
    <t>Consolidar un  manejo integral del usuario y su familia, desde su promoción, prevención, tratamiento, rehabilitación de alta complejidad y seguimiento  comunitario.</t>
  </si>
  <si>
    <t>Diseñar implementar y evaluar Programa integralidad de alta complejidad y  seguimiento comunitario.</t>
  </si>
  <si>
    <t>Fortalecimiento del Sistema Obligatorio de Garantía de Calidad en Salud.</t>
  </si>
  <si>
    <t>Mejora y fortalecimiento en los procesos administrativos y asistenciales, que incluyan la eficacia y eficiencia en los mismos minimizando  el daño  antijurídico.</t>
  </si>
  <si>
    <t xml:space="preserve">Programa de gestión institucional de los recursos financieros (PEGIF) </t>
  </si>
  <si>
    <t xml:space="preserve">
Programa de Gestión y Desempeño Institucional</t>
  </si>
  <si>
    <t>Implementar el Modelo Integrado  de Planeación y Gestión - MIPG.</t>
  </si>
  <si>
    <t>RESPONSABILIDAD SOCIAL</t>
  </si>
  <si>
    <t>Sistema de Gestión en Seguridad y  Salud en el Trabajo</t>
  </si>
  <si>
    <t>Mantener la certificación en el cumplimiento de la   norma  ISO 14001:2015 Sistema de Gestión Ambiental</t>
  </si>
  <si>
    <t>Realizar eventos de asistencia masiva en actividades como simposios y congresos</t>
  </si>
  <si>
    <t>Desarrollar  alianzas estratégicas que permitan fortalecer  las líneas de investigación de los grupos de investigación.</t>
  </si>
  <si>
    <t>UCI ADULTOS</t>
  </si>
  <si>
    <t>UCI PEDIATRICA</t>
  </si>
  <si>
    <t>NA</t>
  </si>
  <si>
    <t xml:space="preserve"> FÓRMULA </t>
  </si>
  <si>
    <t>INDICADOR</t>
  </si>
  <si>
    <t>CARTERA</t>
  </si>
  <si>
    <t>FACTURACION</t>
  </si>
  <si>
    <t xml:space="preserve">META VIGENCIA 2021 </t>
  </si>
  <si>
    <t>URGENCIAS</t>
  </si>
  <si>
    <t>No.</t>
  </si>
  <si>
    <t>ACTIVIDAD</t>
  </si>
  <si>
    <t>PROCESO</t>
  </si>
  <si>
    <t>GESTION DIRECCIONAMIENTO ESTRATEGICO Y HUMANIZACION</t>
  </si>
  <si>
    <t>X</t>
  </si>
  <si>
    <t xml:space="preserve">GESTIÓN DE TALENTO </t>
  </si>
  <si>
    <t>GESTIÓN QHSE</t>
  </si>
  <si>
    <t>EPIDEMIOLOGIA Y SALUD PUBLICA</t>
  </si>
  <si>
    <t>ATENCIÓN URGENCIAS</t>
  </si>
  <si>
    <t>ENFERMERIA</t>
  </si>
  <si>
    <t>GESTION FARMACEUTICA</t>
  </si>
  <si>
    <t>APOYO SERVICIOS DE SALUD</t>
  </si>
  <si>
    <t>GESTION QUIRURGICA</t>
  </si>
  <si>
    <t>SIAU</t>
  </si>
  <si>
    <t>GESTION CLINICA</t>
  </si>
  <si>
    <t>UNIDAD DE CUIDADO INTENSIVO ADULTO</t>
  </si>
  <si>
    <t>UNIDAD DE CUIDADO INTENSIVO PEDIATRICO</t>
  </si>
  <si>
    <t>UNIDAD DE CUIDADO INTENSIVO NEONATAL</t>
  </si>
  <si>
    <t>GESTIÓN CONTRATACIÓN</t>
  </si>
  <si>
    <t>GESTIÓN ADMINISTRATIVA</t>
  </si>
  <si>
    <t xml:space="preserve">AUDITORIA CUENTAS </t>
  </si>
  <si>
    <t>GESTIÓN FINANCIERA</t>
  </si>
  <si>
    <t>GESTIÓN DOCUMENTAL</t>
  </si>
  <si>
    <t>GESTIÓN DE SISTEMAS DE INFORMACIÓN Y COMUNICACIONES</t>
  </si>
  <si>
    <t>GESTIÓN TECNOLOGICA</t>
  </si>
  <si>
    <t>GESTIÓN JURIDICA</t>
  </si>
  <si>
    <t>GESTIÓN DE MANTENIMIENTO</t>
  </si>
  <si>
    <t>GESTIÓN DE SUMINISTROS Y ACTIVOS FIJOS</t>
  </si>
  <si>
    <t>GESTIÓN SERVICIOS DE APOYO</t>
  </si>
  <si>
    <t>A1</t>
  </si>
  <si>
    <t>A2</t>
  </si>
  <si>
    <t>A3</t>
  </si>
  <si>
    <t>A4</t>
  </si>
  <si>
    <t>A6</t>
  </si>
  <si>
    <t>A7</t>
  </si>
  <si>
    <t>A8</t>
  </si>
  <si>
    <t>A9</t>
  </si>
  <si>
    <t>A10</t>
  </si>
  <si>
    <t>A11</t>
  </si>
  <si>
    <t>A12</t>
  </si>
  <si>
    <t>A13</t>
  </si>
  <si>
    <t>A14</t>
  </si>
  <si>
    <t>A15</t>
  </si>
  <si>
    <t>A16</t>
  </si>
  <si>
    <t>A17</t>
  </si>
  <si>
    <t>A18</t>
  </si>
  <si>
    <t>A19</t>
  </si>
  <si>
    <t>A20</t>
  </si>
  <si>
    <t>A21</t>
  </si>
  <si>
    <t>A22</t>
  </si>
  <si>
    <t>CALIDAD</t>
  </si>
  <si>
    <t>SST</t>
  </si>
  <si>
    <t>SGA</t>
  </si>
  <si>
    <t>GESTIÓN DE INVESTIGACIÓN E INNOVACIÓN DE CALIDAD</t>
  </si>
  <si>
    <t>RESULTADO 3er TRIMESTRE</t>
  </si>
  <si>
    <t>RESULTADO 4o TRIMESTRE</t>
  </si>
  <si>
    <t>UCI NEONATAL</t>
  </si>
  <si>
    <t>PROMEDIO 2o TRIMESTRE</t>
  </si>
  <si>
    <t>PROMEDIO 3er TRIMESTRE</t>
  </si>
  <si>
    <t>PROMEDIO 4o TRIMESTRE</t>
  </si>
  <si>
    <t>PROMEDIO TRIMESTRAL CUMPLIMIENTO POR PROCESO</t>
  </si>
  <si>
    <t>PORCENTAJE AVANCE ANUAL</t>
  </si>
  <si>
    <t>Resultado SegundoTrimestre</t>
  </si>
  <si>
    <t>Resultado Tercer Trimestre</t>
  </si>
  <si>
    <t>Resultado  Cuarto Trimestre</t>
  </si>
  <si>
    <t>RESULTADO 2do TRIMESTRE</t>
  </si>
  <si>
    <t>Gestion Clínica</t>
  </si>
  <si>
    <t>SERVICIOS APOYO SALUD</t>
  </si>
  <si>
    <t>MARIA JOSEFA CANELONES</t>
  </si>
  <si>
    <t>Implementación, Evaluación y Cumplimiento del Modelo con enfoque de Atención Primaria en Salud.Programa integralidad de alta complejidad y seguimiento  comunitario.</t>
  </si>
  <si>
    <t>Cumplimiento Global del Programa de Alta Complejidad</t>
  </si>
  <si>
    <t>Promedio resultado de cumplimiento de indicadores del programa</t>
  </si>
  <si>
    <t xml:space="preserve">
Apropiar el proceso de acreditación en salud en  los procesos organizacionales para fortalecer su mejora y cumplimiento</t>
  </si>
  <si>
    <t>Programa  Gestión y minimización de los riesgos asociados a la atención en sa</t>
  </si>
  <si>
    <t>Fortalecer la  implementación del proceso de acreditación frente al  despliegue y aplicación del enfoque y extensión a los clientes  interno y externo.</t>
  </si>
  <si>
    <t>Resultado vigencia actual / Resultado vigencia anterior</t>
  </si>
  <si>
    <t>Resultado de la comparación  entre
 1,11  y 1,19</t>
  </si>
  <si>
    <t>entre 1,11 y 1,19</t>
  </si>
  <si>
    <t xml:space="preserve">Garantizar la  gestión de los recursos  que contribuyan a la competitividad y sostenibilidad de la organización. </t>
  </si>
  <si>
    <t>RESULTADO 4to TRIMESTRE</t>
  </si>
  <si>
    <t>Resultado Segundo Trimestre</t>
  </si>
  <si>
    <t>PROMEDIO 4to TRIMESTRE</t>
  </si>
  <si>
    <t>Gestión Financiera</t>
  </si>
  <si>
    <t>Medición Desempeño</t>
  </si>
  <si>
    <t>Gestión Sistema de Información y Comunicaciones</t>
  </si>
  <si>
    <t>Gestión Jurídica</t>
  </si>
  <si>
    <t xml:space="preserve">
Asegurar la competitividad y posicionamiento de la institución </t>
  </si>
  <si>
    <t>Fortalecimiento de  estrategias de responsabilidad social y conservación del medio ambiente</t>
  </si>
  <si>
    <t xml:space="preserve"> Cumplimiento de los requisitos de la norma  ISO 14001:2015
</t>
  </si>
  <si>
    <t>Sistema Gestión Ambiental</t>
  </si>
  <si>
    <t>Gestión Farmaceútica</t>
  </si>
  <si>
    <t>Asegurar la transición   de  la norma  OHSAS 18001:2007 a la norma  ISO 45001:2018 Seguridad y Salud en el Trabajo</t>
  </si>
  <si>
    <t xml:space="preserve"> Cumplimiento de los requisitos de la norma  ISO 45001:2018
</t>
  </si>
  <si>
    <t>Sitema Seguridad y Salud en el Trabajo</t>
  </si>
  <si>
    <t>Mantener las Buenas practicas de manufactura</t>
  </si>
  <si>
    <t xml:space="preserve"> Cumplimiento de requisitos de Buenas practicas de manufactura 
</t>
  </si>
  <si>
    <t xml:space="preserve">
Contribuir a la consolidación de Hospital Universitario mediante la gestión del conocimiento, innovación y desarrollo comunitario</t>
  </si>
  <si>
    <t>Fomentar la generación de conocimiento y la innovación aplicada al proceso de atención en salud</t>
  </si>
  <si>
    <t>Proyectos de investigación competitiva a nivel regional y Nacional impactando positivamente el Fortalecimiento de la E.S.E  Hospital Universitario San Rafael De Tunja y su zona de influencia</t>
  </si>
  <si>
    <t>Rediseñar , Socializar, Implementar y evaluar el Programa de investigación, Docencia e Innovación Fortalecer  líneas de investigación institucional,Realizar eventos de asistencia masiva en actividades como simposios y congresos,Desarrollar  alianzas estratégicas que permitan fortalecer  las líneas de investigación de los grupos de investigación.</t>
  </si>
  <si>
    <t>Número proyectos para someter a revista / Número de proyectos aprobados por comité</t>
  </si>
  <si>
    <t xml:space="preserve">Productos de Investigación para Someter a Revista </t>
  </si>
  <si>
    <t>Rediseñar , Socializar, Fortalecer  líneas de investigación institucional</t>
  </si>
  <si>
    <t>Gestión de Investigación e Innovación</t>
  </si>
  <si>
    <t>Número de congresos realizados en el periodo</t>
  </si>
  <si>
    <t>Congresos ejecutados</t>
  </si>
  <si>
    <t>Alianza formalizada</t>
  </si>
  <si>
    <t>Número de Alianzas estratégicas consolidadas en el periodo</t>
  </si>
  <si>
    <t>Diseñar , socializar e implementar el programa prevención del daño antijurídico de la entidad.</t>
  </si>
  <si>
    <t>PLAN OPERATIVO POR PROCESOS Y/O SERVICIOS</t>
  </si>
  <si>
    <t>GESTION DE TECNOLOGIA PARA LA PRESTACION DE SERVICIOS DE SALUD HUMANIZADOS Y SEGUROS</t>
  </si>
  <si>
    <t>Fortalecer la gestion tecnologica</t>
  </si>
  <si>
    <t xml:space="preserve">fortalecer la tecnologia según la capacidad instalada que permita mantener  los mas altos estandares en servicios </t>
  </si>
  <si>
    <t>progama de gestion de integracion de sistemas de informacion</t>
  </si>
  <si>
    <t>Fortalecer la gestión de la información de manera que asegure la continuidad en la prestación de servicios, la toma de decisiones basada en hechos y datos y facilite la articulación de la información de las instituciones integradas en red.</t>
  </si>
  <si>
    <t>Cumplimiento de actividades del programa integración del sistema de información</t>
  </si>
  <si>
    <t>Cumplimiento proyectos TI</t>
  </si>
  <si>
    <t>Cumplimiento del  Programa de integración del sistema de información</t>
  </si>
  <si>
    <t>Porcentaje de cumplimiento del Programa</t>
  </si>
  <si>
    <t xml:space="preserve">
Construcción, adecuación y/o mejoramiento de las condiciones de infraestructura del HUSRT
</t>
  </si>
  <si>
    <t>Porcentaje global de cumplimiento del modelo de atención en la institución</t>
  </si>
  <si>
    <t>Porcentaje global de cumplimiento delPrograma de Alta Complejidad</t>
  </si>
  <si>
    <t>SUBGERENCIA ADMINISTRATIVA Y FINANCIERA</t>
  </si>
  <si>
    <t>SUBGERENCIA DE SERVICIOS DE SALUD</t>
  </si>
  <si>
    <t>OFICINA ASESORA DE DESARROLLO DE SERVICIOS</t>
  </si>
  <si>
    <t xml:space="preserve">TOTAL  POAS: </t>
  </si>
  <si>
    <t xml:space="preserve">SAF: </t>
  </si>
  <si>
    <t xml:space="preserve">SSS: </t>
  </si>
  <si>
    <t xml:space="preserve">OADS: </t>
  </si>
  <si>
    <t xml:space="preserve">Fortalecer la tecnologia según la capacidad instalada que permita mantener  los mas altos estandares en servicios </t>
  </si>
  <si>
    <t>Programa de adecuacion y mejoramiento de infraestructura fisica</t>
  </si>
  <si>
    <t>% Avance real / % Avance proyectado</t>
  </si>
  <si>
    <t>Porcentaje avance de obra (Mejoramiento)</t>
  </si>
  <si>
    <t>Coordinador Mantenimiento</t>
  </si>
  <si>
    <t>GESTIÓN MANTENIMIENTO</t>
  </si>
  <si>
    <t>AVANCE 1 TRIMESTRE</t>
  </si>
  <si>
    <t>Cumplimiento del  Programa de Construcción, adecuación y/o mejoramiento infraestructura física</t>
  </si>
  <si>
    <t>programa de gestion tecnologica y dotacion hospitalaria</t>
  </si>
  <si>
    <t>Fortalecer  la dotación de equipos biomédicos, industriales y de soporte asistencial de alta complejidad y en condiciones de seguridad para el paciente, el usuario y el entorno.</t>
  </si>
  <si>
    <t>Actividades de mantenimiento correctivo</t>
  </si>
  <si>
    <t>Número de mantenimientos correctivos ejecutados / Número de actividades solicitados</t>
  </si>
  <si>
    <t>Actividades de mantenimiento preventivo</t>
  </si>
  <si>
    <t>Coordinador Biómedica</t>
  </si>
  <si>
    <t>Gestión tecnología Biomédica</t>
  </si>
  <si>
    <t>Número de equipos gestionados ante comité directivo / Número de equipos aprobados para adquisicion</t>
  </si>
  <si>
    <t>Gestión de dotación Hospitalaria</t>
  </si>
  <si>
    <t xml:space="preserve">Número de dotación hospitalaria  Gestionados ante comité directivo / Número de dotación hospitalaria aprobada para adquisición </t>
  </si>
  <si>
    <t>Disminución de Mantenimientos Correctivos Implementando las Listas de Chequeo Diarias</t>
  </si>
  <si>
    <t>GESTIÓN TECNOLÓGICA</t>
  </si>
  <si>
    <t>SISTEMAS</t>
  </si>
  <si>
    <t>GESTIÓN SUMINISTROS Y ACTIVOS FIJOS</t>
  </si>
  <si>
    <t xml:space="preserve">TRANSFORMACIÓN CULTURAL PERMANENTE. </t>
  </si>
  <si>
    <t xml:space="preserve">Generar líneas de desarrollo humano  que impacten en la  calidad de la  atención del usuario y su familia. </t>
  </si>
  <si>
    <t xml:space="preserve">Fortalecer el  desarrollo Humano y bienestar. </t>
  </si>
  <si>
    <t xml:space="preserve">Programa de Gestión integral y bienestar del talento humano  que impacten en la  calidad de la  atención del usuario y su familia. </t>
  </si>
  <si>
    <t xml:space="preserve">Rediseñar , Socializar, Implementar y evaluar el Programa de Gestión integral y bienestar del talento humano  que impacten en la  calidad de la  atención del usuario y su familia. </t>
  </si>
  <si>
    <t>GESTIÓN DEL TALENTO HUMANO</t>
  </si>
  <si>
    <t xml:space="preserve">No. De personas certificadas en la norma definida / Total de personas  programadas para certificar en la norma de competencia </t>
  </si>
  <si>
    <t>% de satisfacción del desarrollo de los programas contenidos en el PEGITH</t>
  </si>
  <si>
    <t xml:space="preserve">% de personal certificado en la norma de competencias  definida </t>
  </si>
  <si>
    <t>Sumatoria de respuestas positivas / Número total de preguntas</t>
  </si>
  <si>
    <t xml:space="preserve">Número de trabajadores de planta participantes en las actividades de capacitación 
programadas en el período
/ Número total de trabajadores de planta programados </t>
  </si>
  <si>
    <t>Número de trabajadores de planta participantes en las actividades de bienestar programadas en el período / Número total de trabajadores de planta programados</t>
  </si>
  <si>
    <t>% de cumplimiento actividades de capacitación</t>
  </si>
  <si>
    <t>Número de actividades ejecutadas en el período / Número total de actividades programadas</t>
  </si>
  <si>
    <t>% de cumplimiento actividades de bienestar</t>
  </si>
  <si>
    <t>Situaciones Administrativas</t>
  </si>
  <si>
    <t>Total situaciones administrativas atendidas en términos / Total situaciones administrativas recibidas o a gestionar en el período</t>
  </si>
  <si>
    <t>Cumplimiento estrategia construyendo en familia para trabajar con el alma</t>
  </si>
  <si>
    <t>Número de colaboradores asistentes a los procesos formativos / Total de colaboradores que confirmen participación</t>
  </si>
  <si>
    <t>Coordinador actividades Talento Humano</t>
  </si>
  <si>
    <t>Cumplimiento del  Programa de Gestión de tecnología y dotación Hospitalaria.</t>
  </si>
  <si>
    <t>Cumplimiento del  Programa  de Investigación, Docencia e
Innovación</t>
  </si>
  <si>
    <t>Porcentaje global de cumplimiento del Programa de Investigación, Docencia e
Innovación</t>
  </si>
  <si>
    <t>Líder PAMEC</t>
  </si>
  <si>
    <t>Cumplimiento Programa de Humanización implementado cliente interno y externo</t>
  </si>
  <si>
    <t>Programa  de adecuación y mejoramiento de infraestructura física</t>
  </si>
  <si>
    <t xml:space="preserve">Programa de Seguridad del Paciente bajo el enfoque de adaptación y mitigación de riesgos  </t>
  </si>
  <si>
    <t>Programa integralidad de alta complejidad y seguimiento  comunitario.</t>
  </si>
  <si>
    <t>Programa de Gestión de tecnología y  dotación Hospitalaria.</t>
  </si>
  <si>
    <t>CONSOLIDADO INSTITUCIONAL</t>
  </si>
  <si>
    <t>ASPECTOS A TENER EN CUENTA AL EVALUAR ESTE INDICADOR</t>
  </si>
  <si>
    <t>1. NUEVO CONVENIOS CON UNIVERSIDADES</t>
  </si>
  <si>
    <t>OBSERVACIONES LIDER PROCESO</t>
  </si>
  <si>
    <t>Consolidado Indicador 
Gestión de Investigación e Innovación</t>
  </si>
  <si>
    <t>Resultado 2doTrimestre</t>
  </si>
  <si>
    <t>Resultado 4to Trimestre</t>
  </si>
  <si>
    <t>1.. Proyectos radicados por el grupo investigador
2. Información regisdtrada en COLCIENCIAS</t>
  </si>
  <si>
    <t>-</t>
  </si>
  <si>
    <t>Resultado 3erTrimestre</t>
  </si>
  <si>
    <t>Resultado 4toTrimestre</t>
  </si>
  <si>
    <t>Resultado 2do Trimestre</t>
  </si>
  <si>
    <t>1. Registro de capacitación y actividades formativas</t>
  </si>
  <si>
    <t>PROGRAMA MADRE CANGURO</t>
  </si>
  <si>
    <t>Crecimiento UVR</t>
  </si>
  <si>
    <t xml:space="preserve">Identificación e Intervención de Hallazgos en Auditoria pre radicación </t>
  </si>
  <si>
    <t>Inconsistencias intervenidas / Total de inconsistencias halladas</t>
  </si>
  <si>
    <t>Utilzación de la capacidad instalada</t>
  </si>
  <si>
    <t>Capacidad instalada utilizada  / Total capacidad instalada disponible</t>
  </si>
  <si>
    <t>Ingreso reconocido por venta de servicios de Salud por UVR</t>
  </si>
  <si>
    <t>Gasto por UVR producida</t>
  </si>
  <si>
    <t>Gasto de funcionamiento + de operación comercial y prestación de servicios / Número de UVR producidas</t>
  </si>
  <si>
    <t>Gasto de personal por UVR producida</t>
  </si>
  <si>
    <t>Gasto de personal (de planta +remuneración servicios técnicos) / Número de UVR producidas</t>
  </si>
  <si>
    <t>&lt;= mismo periodo vigencia anterior</t>
  </si>
  <si>
    <t>&lt;= al periodo vigencia anterior</t>
  </si>
  <si>
    <t>Equilibrio con reconocimiento total</t>
  </si>
  <si>
    <t xml:space="preserve">Total reconocimiento  / Total gasto comprometido </t>
  </si>
  <si>
    <t>&gt;1</t>
  </si>
  <si>
    <t>Equilibrio con recaudo total</t>
  </si>
  <si>
    <t xml:space="preserve">Total recaudo  / Total gasto comprometido </t>
  </si>
  <si>
    <t>Oportunidad en la respuesta de glosa inicial</t>
  </si>
  <si>
    <t>Total facturas con glosa que cuentan con respuesta oportuna / Total de facturas notificadas con glosa inicial en la vigencia</t>
  </si>
  <si>
    <t>Participación de la Glosa inicial y devoluciones pendientes en el total de la cartera</t>
  </si>
  <si>
    <t xml:space="preserve">Aceptación de Glosa de la vigencia </t>
  </si>
  <si>
    <t>Valor de Glosa neta final aceptada de la vigencia / Facturado en la vigencia</t>
  </si>
  <si>
    <t>&lt;4%</t>
  </si>
  <si>
    <t>Cumplimiento en pago de vigencias anteriores</t>
  </si>
  <si>
    <t>Total de pagos de cuentas por pagar de vigencias anteriores  / Total cuentas por pagar vigencias anteriores</t>
  </si>
  <si>
    <t>Superavit o Deficit presupuestal</t>
  </si>
  <si>
    <t>Total ingreso reconocido - Total gasto comprometido</t>
  </si>
  <si>
    <t>Informe de seguimiento</t>
  </si>
  <si>
    <t>Calculo del indice de Riesgo</t>
  </si>
  <si>
    <t xml:space="preserve">Superavit o Deficit operacional Total / Ingresos operacionales totales recaudados </t>
  </si>
  <si>
    <t xml:space="preserve">Facturación </t>
  </si>
  <si>
    <t>Auditoria Cuentas</t>
  </si>
  <si>
    <t>Cartera</t>
  </si>
  <si>
    <t>Gestión Juridica</t>
  </si>
  <si>
    <t xml:space="preserve">Seguimiento trimestral al comportamiento de los centros de costos </t>
  </si>
  <si>
    <t>Total informes trimestrales de costos evaluados  / Total trimestres de la vigencia</t>
  </si>
  <si>
    <t>Número de actividade ejecutadas / Número de Actividades programadas</t>
  </si>
  <si>
    <t>Implementación plan de acción de SST (Plan de trabajo)</t>
  </si>
  <si>
    <t>Implementación plan de acción de SGA  (Plan de trabajo)</t>
  </si>
  <si>
    <t>Implementación plan de acción de BPM (Plan de trabajo)</t>
  </si>
  <si>
    <t>Ssitemas</t>
  </si>
  <si>
    <t>Radiología e Imágenes
diagnósticas</t>
  </si>
  <si>
    <t>Actividades ejecutadas plan de acción MIPG / Actividades programadas</t>
  </si>
  <si>
    <t>Gestión Quirurgica</t>
  </si>
  <si>
    <t>Resultado tercer Trimestre</t>
  </si>
  <si>
    <t>Resultado cuarto Trimestre</t>
  </si>
  <si>
    <t>Resultado  Segundo Trimestre</t>
  </si>
  <si>
    <t>RESULTADO CONSOLIDADO 2do TRIMESTRE</t>
  </si>
  <si>
    <t>RESULTADO CONSOLIDADO  3er TRIMESTRE</t>
  </si>
  <si>
    <t>RESULTADO CONSOLIDADO  4toTRIMESTRE</t>
  </si>
  <si>
    <t>RESULTADO CONSOLIDADO 3er TRIMESTRE</t>
  </si>
  <si>
    <t>Resultado CuartoTrimestre</t>
  </si>
  <si>
    <t>RESULTADO CONSOLIDADO 4to TRIMESTRE</t>
  </si>
  <si>
    <t>RESULTADO CONSOLIDADO 3er  TRIMESTRE</t>
  </si>
  <si>
    <t>PERIODICIDAD</t>
  </si>
  <si>
    <t>Trimestral</t>
  </si>
  <si>
    <t>Anual</t>
  </si>
  <si>
    <t>Director Técnico Farmacia</t>
  </si>
  <si>
    <t>Semestral</t>
  </si>
  <si>
    <t>RESULTADO CONSOLIDADO 4toTRIMESTRE</t>
  </si>
  <si>
    <t>RESULTADO CONSOLIDADO  4to TRIMESTRE</t>
  </si>
  <si>
    <t>Planeación</t>
  </si>
  <si>
    <t>Número de actividades ejecutadas / Número de Actividades programadas</t>
  </si>
  <si>
    <t>Líder Sistema Gestión Ambiental</t>
  </si>
  <si>
    <t>Líder Seguridad y Salud en el Trabajo</t>
  </si>
  <si>
    <t>Resultado 3 er timestre</t>
  </si>
  <si>
    <t>Resultado 4to timestre</t>
  </si>
  <si>
    <t>Mensual</t>
  </si>
  <si>
    <t>Resultado tercerTrimestre</t>
  </si>
  <si>
    <t>GESTIÓN FARMACEUTICA</t>
  </si>
  <si>
    <t>SEGURIDAD Y SALUD EN EL TRABAJO</t>
  </si>
  <si>
    <t>FACTURACIÓN</t>
  </si>
  <si>
    <t xml:space="preserve">OBSERVACIONES LIDER PROCESO
EVIDENCIA </t>
  </si>
  <si>
    <t>Resultado Cuarto Trimestre</t>
  </si>
  <si>
    <t>EVIDENCIA</t>
  </si>
  <si>
    <t>Obtener la Certificación en ISO 9001:2015 Sistema de Gestión de Calidad</t>
  </si>
  <si>
    <t xml:space="preserve">Cumplimiento de los requisitos de la norma ISO 9001:20158
</t>
  </si>
  <si>
    <t>EVIDENICA</t>
  </si>
  <si>
    <t>Resultado TercerTrimestre</t>
  </si>
  <si>
    <t>Humanización</t>
  </si>
  <si>
    <t>Modelo de atención</t>
  </si>
  <si>
    <t>GESTIÓN CLÍNICA</t>
  </si>
  <si>
    <t>GESTIÓN QUIRÚRGICA</t>
  </si>
  <si>
    <t>SEDE MARIA JOSEFA CANELOS</t>
  </si>
  <si>
    <t>Pamec</t>
  </si>
  <si>
    <t>Seguridad del paciente</t>
  </si>
  <si>
    <t>A5</t>
  </si>
  <si>
    <t>Alta Complejidad</t>
  </si>
  <si>
    <t>PEGIF</t>
  </si>
  <si>
    <t>Programa de Costos</t>
  </si>
  <si>
    <t>Programa Daño Antijuridico</t>
  </si>
  <si>
    <t>SEGURIDAD DEL PACIENTE</t>
  </si>
  <si>
    <t>MIPG</t>
  </si>
  <si>
    <t>Integración de sistemas</t>
  </si>
  <si>
    <t>Adecuación y Mejoramiento Infraestructura</t>
  </si>
  <si>
    <t xml:space="preserve">Gestión Tecnología </t>
  </si>
  <si>
    <t>PEGITH</t>
  </si>
  <si>
    <t>IAMI</t>
  </si>
  <si>
    <t>LABORATORIO CLÍNICO</t>
  </si>
  <si>
    <t>ISO 14001:2015</t>
  </si>
  <si>
    <t>ISO 45001:2018</t>
  </si>
  <si>
    <t>ISO 9001:2015</t>
  </si>
  <si>
    <t>BPE</t>
  </si>
  <si>
    <t>BPM</t>
  </si>
  <si>
    <t xml:space="preserve">Programa de Investigación </t>
  </si>
  <si>
    <t>Líneas de Investigación</t>
  </si>
  <si>
    <t>Número de Congresos</t>
  </si>
  <si>
    <t>Alianzas Estrátegicas</t>
  </si>
  <si>
    <t>LABORATORIO CLINICO</t>
  </si>
  <si>
    <t>EVINDECIA</t>
  </si>
  <si>
    <t>&gt;=70%</t>
  </si>
  <si>
    <t>HERRAMIENTA MEDICION MODELO DE ATENCION POR SERVICIOS</t>
  </si>
  <si>
    <t>OBSERVACIONES CONTROL INTERNO</t>
  </si>
  <si>
    <t xml:space="preserve"> CUMPLIMIENTO INDICADORES PROGRAMA 2 TRIMESTRE</t>
  </si>
  <si>
    <t>cumplimiento ,.</t>
  </si>
  <si>
    <t>Total de glosas pendientes de conciliar entre las partes + Devoluciones pendientes de reconocimiento de pago / Total Cartera</t>
  </si>
  <si>
    <t>APOYO SERVICIOS  SALUD</t>
  </si>
  <si>
    <t>ESE HOSPITAL UNIVERSITARIO SAN RAFAEL TUNJA</t>
  </si>
  <si>
    <t>PROCESOS INVOLUCRADOS</t>
  </si>
  <si>
    <t>PROCESOS Y/O SERVICIOS INVOLUCRADOS</t>
  </si>
  <si>
    <t>INSTRUCTIVO EVALUACIÓN POA</t>
  </si>
  <si>
    <t>Aquí se diligencia por cada líder de Programa el resultado obtenido en cada indicador, según la periodicidad y aplicable a cada proceso y/o servicio involucrado</t>
  </si>
  <si>
    <t>Se describe los aspectos o actividades que conlleven al despliegue y desarrollo de las fuentes de información, para que se ejecuten por parte del líder del programa o proceso y/o servicio responsable de alimentarlo, correspondiente a información vital al momento de evalaur indicadores con periodicidad de medición superior a tres meses</t>
  </si>
  <si>
    <t>Gestión Clínica</t>
  </si>
  <si>
    <t>Se encuentran el(los) procesos o servicios aliados en el despliegue del programa estratégico</t>
  </si>
  <si>
    <t>OBSERVACIONES LÍDER DEL PROCESO</t>
  </si>
  <si>
    <t xml:space="preserve">Corrresponde al promedio consolidado de los resultados del indicador de cada proceso y/o servicio </t>
  </si>
  <si>
    <t>POA POR PROCESO Y/O SERVICIO</t>
  </si>
  <si>
    <t>AVANCES SEGÚN  CUMPLIMIENTO DE META</t>
  </si>
  <si>
    <t>Se evidencia el avance trimestral de cada indicador con respecto a la meta establecida para cada uno</t>
  </si>
  <si>
    <t>Esta medición se realizará trimestral midiendo el resultado de avance de cada Plan Operativo con respecto a los indicadores definidos en cada uno</t>
  </si>
  <si>
    <t>Meta indicador</t>
  </si>
  <si>
    <t>Peso Porcentual sobre meta vigencia</t>
  </si>
  <si>
    <t xml:space="preserve">Cumplimiento Global del modelo </t>
  </si>
  <si>
    <t>Indicadores Aplicables</t>
  </si>
  <si>
    <t>Avance Meta Vigencia</t>
  </si>
  <si>
    <t>Reporte cumplimiento trimestral</t>
  </si>
  <si>
    <t>% Cumplimiento meta vigencia</t>
  </si>
  <si>
    <t>Meta vigencia</t>
  </si>
  <si>
    <t>Coordinador Técnico Farmacia</t>
  </si>
  <si>
    <t>Indicadores Aplicables al programa</t>
  </si>
  <si>
    <t>CUMPLIMIENTO PROGRAMA DE HUMANIZACIÓN IMPLEMENTADO CLIENTE INTERNO Y EXTERNO</t>
  </si>
  <si>
    <t>PROMEDIO TRIMESTRAL CUMPLIMIENTO POR PROCESO Y/O SERVICIO</t>
  </si>
  <si>
    <t>Eje Estratégico definifo en Plan de Desarrollo</t>
  </si>
  <si>
    <t>Objetivo Estratégico definifo en Plan de Desarrollo</t>
  </si>
  <si>
    <t>Nombre del Programa definido en el Plan de Desarrollo</t>
  </si>
  <si>
    <t>Meta definida en el Plan de Desarrolo para la vigencia evaluada</t>
  </si>
  <si>
    <t>Actividad definida en el Plan de Desarrollo, sobre las cuales se estructura el POA</t>
  </si>
  <si>
    <t xml:space="preserve">FÓRMULA </t>
  </si>
  <si>
    <t>Expresión matemática que consiste en la división del numerador entre el denominador, multiplicado por el factor correspondiente</t>
  </si>
  <si>
    <t>Límite propuesto como ideal de mejoramiento para alcanzar el desempeño deseable para la condición medida por el indicador.</t>
  </si>
  <si>
    <t>Frecuencia de medición del indicador dentro del programa o actividad</t>
  </si>
  <si>
    <t>Líder de programa según aplique</t>
  </si>
  <si>
    <t>RESULTADO CONSOLIDAD POR NTRIMESTRE</t>
  </si>
  <si>
    <t>Si las considera pertinentes</t>
  </si>
  <si>
    <t>EVALUACIÓN POA ANUAL</t>
  </si>
  <si>
    <t>Línea Estratégica definido en Plan de Desarrollo</t>
  </si>
  <si>
    <t>Resultado del(os) indicador(es) definido(s) por el líder del programa aplicables a la medición de la vigencia, conforme a la meta definida en la ficha técnica de cada uno</t>
  </si>
  <si>
    <t xml:space="preserve"> CUMPLIMIENTO INDICADORES PROGRAMA 3 TRIMESTRE</t>
  </si>
  <si>
    <t xml:space="preserve"> CUMPLIMIENTO INDICADORES PROGRAMA 4 TRIMESTRE</t>
  </si>
  <si>
    <t xml:space="preserve"> RESULTADO FRENTE A META VIGENCIA</t>
  </si>
  <si>
    <t>Cumplimiento Global del modelo Urgencias</t>
  </si>
  <si>
    <t>Cumplimiento Global del modelo UCI Adultos</t>
  </si>
  <si>
    <t>Cumplimiento Global del modelo UCI Pediátrica</t>
  </si>
  <si>
    <t>Cumplimiento Global del modelo UCI Neonatal</t>
  </si>
  <si>
    <t>Cumplimiento Global del modelo Apoyo Servicios Salud</t>
  </si>
  <si>
    <t>PROGRAMA ESTRATÉGICO</t>
  </si>
  <si>
    <t>Programa definido en el Plan de Desarrollo</t>
  </si>
  <si>
    <t>Actividad desplegable de los Programas Estratégicos y sobre las cuales se realizará la medición de POA´S</t>
  </si>
  <si>
    <t xml:space="preserve">Meta definida para cada vigencia y aplicable a la medición </t>
  </si>
  <si>
    <t>META VIGENCIA</t>
  </si>
  <si>
    <t>RESPONSABLE</t>
  </si>
  <si>
    <t>Líder responsable de medición de cada actividad</t>
  </si>
  <si>
    <t>RESULTADO FRENTE A META VIGENCIA</t>
  </si>
  <si>
    <t>CUMPLIMIENTO INDICADORES PROGRAMA XX TRIMESTRE</t>
  </si>
  <si>
    <t>Dato que se obtiene de la medición trimestral individual de los POA, de acuerdo al resultado en el cumplimiento de las metas de los indicadores definidos</t>
  </si>
  <si>
    <t>Esta medición se realizará anualmente conforme a lo definido en los oficios, por cada líder de Programa Estratégico, basado en los indicadores estipulados y en la asignación de pesos porcentuales a cada uno. Su medición es anual debido a que con la desagregación en dichos porcentajes, se obtiene el resultado de la vigencia completa, en cada POA se realiza un análisis del resultado de los indicadores conforme a lo definido en el oficio.</t>
  </si>
  <si>
    <t>INDICADOR RESULTADO</t>
  </si>
  <si>
    <t>Indicador Resultado</t>
  </si>
  <si>
    <t>Resultado 2do Trimestre - Promedio</t>
  </si>
  <si>
    <t>Promedio indicadores Programa Estratégico</t>
  </si>
  <si>
    <t>VERSIÓN: 04</t>
  </si>
  <si>
    <t>FECHA: 26/05/2021</t>
  </si>
  <si>
    <t>Proporción de vigilancia de eventos adversos</t>
  </si>
  <si>
    <t>Promedio de la calificación de adherencia a las buenas prácticas de seguridad del paciente</t>
  </si>
  <si>
    <t xml:space="preserve">Promedio de la calificación de la implementación de las buenas practicas de seguridad del paciente priorizadas </t>
  </si>
  <si>
    <t>No. de ítems de implementación que se  que cumplen en el periodo según cronograma / Total de ítems evaluado en el periodo  según cronograma .x100</t>
  </si>
  <si>
    <t>&gt;=65%</t>
  </si>
  <si>
    <t>Gestión del riesgo extremo y alto en seguridad del paciente</t>
  </si>
  <si>
    <t>Lider Seguridad del Paciente</t>
  </si>
  <si>
    <t xml:space="preserve">Sumatoria del numero de listas de chequeo  aplicadas por pacientes atendidos que cumplen con los criterios según estándar (protocolo...) institucional en el periodo / Sumatoria total de las listas de chequeo aplicadas por pacientes atendidos en el periodo X 100 
 </t>
  </si>
  <si>
    <t>Número total de eventos adversos detectados y gestionados / Número total de eventos adversos detectados</t>
  </si>
  <si>
    <t>Actas de Comité segurdiad del paciente
Informe ejecutivo del prograrama</t>
  </si>
  <si>
    <t xml:space="preserve">Actas de Comité segurdiad del paciente
Informes de adherencia </t>
  </si>
  <si>
    <t>Informe de Seguimiento</t>
  </si>
  <si>
    <t xml:space="preserve">Informe de avance de obra </t>
  </si>
  <si>
    <t>Informe de actividades de manteniemiento</t>
  </si>
  <si>
    <t>Actas de Comité de aprobación</t>
  </si>
  <si>
    <t>Informe de actividades de mantenimiento</t>
  </si>
  <si>
    <t>Certificados</t>
  </si>
  <si>
    <t>Tabulación encuesta</t>
  </si>
  <si>
    <t>Actas  asistencia</t>
  </si>
  <si>
    <t>Informe y/o respectiva evidencia</t>
  </si>
  <si>
    <t>Informes Trimestrales</t>
  </si>
  <si>
    <t>&lt;=30%</t>
  </si>
  <si>
    <t>Cumplimiento del articulo 22 "Cobro Persuasivo" de la Resolución 072 de 2020 Manual Interno de recaudo de Cartera</t>
  </si>
  <si>
    <t xml:space="preserve">Informe </t>
  </si>
  <si>
    <t>Promedio de cumplimiento de indicadores del modelo</t>
  </si>
  <si>
    <t>Cumplimiento cronograma</t>
  </si>
  <si>
    <t>Innforme Resultados encuesta</t>
  </si>
  <si>
    <t>Promedio de cumplimiento de actividades que aplican según cronograma vigencia 2021 Proyecto Unidad de cancerología - fase 1</t>
  </si>
  <si>
    <t>Promedio de cumplimiento de actividades que aplican según cronograma vigencia 2021 Programa de rehabilitación pulmonar</t>
  </si>
  <si>
    <t>Promedio de cumplimiento de actividades que aplican según cronograma vigencia 2021 Programa clínica de osteoporosis</t>
  </si>
  <si>
    <t>Promedio de cumplimiento de actividades que aplican según cronograma vigencia 2021 Programa clínica de obesidad</t>
  </si>
  <si>
    <t xml:space="preserve">Promedio de cumplimiento de actividades que aplican según cronograma vigencia 2021Programa de pie diabético </t>
  </si>
  <si>
    <t>Promedio de cumplimiento de actividades que aplican según cronograma vigencia 2021 Programa hospital seguro contra la trombosis</t>
  </si>
  <si>
    <t>Promedio de cumplimiento de actividades que aplican según cronograma vigencia 2021 Programa clínica de anticoagulación</t>
  </si>
  <si>
    <t>Promedio de cumplimiento de actividades que aplican según cronograma vigencia 2021 Programa de donación de órganos</t>
  </si>
  <si>
    <t>Promedio de cumplimiento de actividades que aplican según cronograma vigencia 2021 Comité de bioética</t>
  </si>
  <si>
    <t>Promedio de cumplimiento de actividades que aplican según cronograma vigencia 2021 Laboratorio de pruebas de función pulmonar</t>
  </si>
  <si>
    <t>Promedio de cumplimiento de actividades que aplican según cronograma vigencia 2021 Programa de accesos vasculares</t>
  </si>
  <si>
    <t>Promedio de cumplimiento de actividades que aplican según cronograma vigencia 2021 Programa de extensión comunitaria</t>
  </si>
  <si>
    <t>Promedio de cumplimiento de actividades que aplican según cronograma vigencia 2021 Microcirugía</t>
  </si>
  <si>
    <t>Promedio de cumplimiento de actividades que aplican según cronograma vigencia 2021 Endocrinología pediátrica</t>
  </si>
  <si>
    <t>&gt;90%</t>
  </si>
  <si>
    <t>Base de datos de espacios de difusión</t>
  </si>
  <si>
    <t>En el trimestre evaluado se realizó convenio con la Universidad Militar,  así como la alianza estrategica con fines de presentar convocatoria a Minciencias  con La universidad de Antioquia y Unmiversidad, debido a la confidencialidad de la información, esta resposa en el archivo digital de la oficica de Gestión Académica</t>
  </si>
  <si>
    <t>INTEGRIDAD</t>
  </si>
  <si>
    <t>TALENTO HUMANO</t>
  </si>
  <si>
    <t>PLANEACIÓN INSTITUCIONAL</t>
  </si>
  <si>
    <t>GESTIÓN PRESUPUESTAL Y EFICIENCIA DEL GASTO</t>
  </si>
  <si>
    <t>GOBIERNO DIGITAL</t>
  </si>
  <si>
    <t>DEFENSA JURIDICA</t>
  </si>
  <si>
    <t>RACIONALIZACION DE TRAMITES</t>
  </si>
  <si>
    <t>PARTICIPACION CIUDADANA EN  LA GESTION PUBLICA</t>
  </si>
  <si>
    <t>SEGUIMIENTO Y EVALUACION DEL DESEMPEÑO INSTITUCIONAL</t>
  </si>
  <si>
    <t>TRANSPARENCIA Y ACCESO A LA INFORMACION PUBLICA</t>
  </si>
  <si>
    <t>GESTION DE LA INFORMACION ESTADISTICA</t>
  </si>
  <si>
    <t xml:space="preserve">1, Se realiza seguimiento trimestral al plan de trabajo anual, 
</t>
  </si>
  <si>
    <t>Seguimiento a matrices de riesgo</t>
  </si>
  <si>
    <t>Acciones de control ejecutadas / Acciones de control identificadas</t>
  </si>
  <si>
    <t>Informe</t>
  </si>
  <si>
    <t xml:space="preserve">Trimestral </t>
  </si>
  <si>
    <t>Alianzas o convenios  firmadas</t>
  </si>
  <si>
    <t>Se cuenta con actas de comité en los cuales se aprueban los proyectos a someter a revista, a la fecha estan publicados 7 articulos, se anexa evidencia</t>
  </si>
  <si>
    <t>Productos de Investigación para someter a Revista.  Indicador anual, artículos publicados a la fecha</t>
  </si>
  <si>
    <t>Se enumera en informe soportes, listado de estapcios de Difusión, realizados por el Hopsital,  realizando 6 espacios de difusión de información en temas como capacitación a internos en investigación, vacunas COVID-19, osteporosis, artritis reumatoide, pacreatitis, entre otros</t>
  </si>
  <si>
    <t>Proyectos publicados en revista</t>
  </si>
  <si>
    <t>Fortalecer y articular la implementación del Programa de seguridad del paciente bajo el enfoque de adaptación y mitigación de riesgos.</t>
  </si>
  <si>
    <t>Diseñar e implementar  un nuevo modelo de  gestión basado en el flujo del paciente con  enfoque de Atención Primaria en Salud.</t>
  </si>
  <si>
    <t>Asesor Prestación de Servicios de Salud Hospitalarios</t>
  </si>
  <si>
    <t>OBJETIVO 5:Garantizar la gestión de los recursos que contribuyan a la competitividad y sostenibilidad de la organización.</t>
  </si>
  <si>
    <t>Mejora y fortalecimiento en los procesos administrativos y asistenciales, que incluyan la eficacia y eficiencia en los mismos minimizando el daño antijurídico.</t>
  </si>
  <si>
    <t>Rediseñar, socializar, implementar y evalúa evaluación al Programa de gestión institucional de los recursos financieros (PGIRF)</t>
  </si>
  <si>
    <t>Perfeccionar el sistema y análisis de costos para ofertar servicios competitivos como herramienta para la toma de decisiones.</t>
  </si>
  <si>
    <t>Cumplimiento de obra (Construcción)</t>
  </si>
  <si>
    <t>Construcciones ejecutadas / Construcciones solicitadas</t>
  </si>
  <si>
    <t>Cumplimiento de obra (Adecuación)</t>
  </si>
  <si>
    <t>Adecuaciones ejecutadas / Adecuaciones solicitadas</t>
  </si>
  <si>
    <t>Mantenimientos  predictivos  / Mantenimientos correctivos</t>
  </si>
  <si>
    <t>% Asistencia del plan de capacitación institucional personal de planta</t>
  </si>
  <si>
    <t>1 Alianza Estratégica</t>
  </si>
  <si>
    <t>Buenas practicas de elaboración  y Manufactura</t>
  </si>
  <si>
    <t>Sistema de Gestión Ambiental</t>
  </si>
  <si>
    <t>Sistema de Gestión en Seguridad y Salud en el Trabajo</t>
  </si>
  <si>
    <t>Proyectos de investigación competitiva a nivel regional y Nacional impactando positivamente el Fortalecimiento de la E.S.E Hospital Universitario San Rafael De Tunja y su zona de influencia.</t>
  </si>
  <si>
    <t>&gt;=0,5</t>
  </si>
  <si>
    <t>SERVICIO AL CIUDADANO</t>
  </si>
  <si>
    <t>Reporte cumplimiento 2° trimestre</t>
  </si>
  <si>
    <t>Avance Meta vigencia</t>
  </si>
  <si>
    <t>Avance Meta Vigencia General</t>
  </si>
  <si>
    <t>Programa de Humanización que involucre la sensibilización del talento humano con enfoque tanto para cliente interno</t>
  </si>
  <si>
    <t>Reporte cumplimiento 3er trimestre</t>
  </si>
  <si>
    <t>Resultado segundo Trimestre</t>
  </si>
  <si>
    <t>Reporte cumplimiento 3er° trimestre</t>
  </si>
  <si>
    <t>FORTALECIMIENTO INSTITUCIONAL Y SIMPLIFICACIÓN DE PROCESOS</t>
  </si>
  <si>
    <t>SEGRUIDAD DIGITAL</t>
  </si>
  <si>
    <t>GESTIÓN DEL CONOCIMIENTO</t>
  </si>
  <si>
    <t>Implementación plan estratégico Resultante del análisis del Contexto</t>
  </si>
  <si>
    <t>Cumplimiento Plan de mejora externo ICONTEC</t>
  </si>
  <si>
    <t>UCI Neonatal
Líder PMC</t>
  </si>
  <si>
    <t>Informe de Control Interno</t>
  </si>
  <si>
    <t>Número de proyectos ejecutados en la vigencia y que corresponden al periodo de medición según lo planeado / Número total de proyectos planeados a ejecutar en la vigencia</t>
  </si>
  <si>
    <t>Número de estudiantes satisfechos / Total de estudiantes que diligenciaron la encuesta de evaluación del escenario de práctica</t>
  </si>
  <si>
    <t>Número de capacitaciones de formación continua realizada al año</t>
  </si>
  <si>
    <t>Número de temas revisados / Número de temas planteados en los syllabus de rotación</t>
  </si>
  <si>
    <t>Productos de Investigación publicados en Revista</t>
  </si>
  <si>
    <t>2 Congresos</t>
  </si>
  <si>
    <t> &gt;90%</t>
  </si>
  <si>
    <t>Consolidado</t>
  </si>
  <si>
    <t>OBSERVACIONES CONRTOL INTERNO</t>
  </si>
  <si>
    <t>FECHA: 25/04/2022</t>
  </si>
  <si>
    <t>VERSIÓN: 03</t>
  </si>
  <si>
    <t>VER3IÓN: 04</t>
  </si>
  <si>
    <t>Promedio de cumplimiento de actividades que aplican según cronograma vigencia 2022 UCI Coronaria</t>
  </si>
  <si>
    <t>Promedio de cumplimiento de actividades que aplican según cronograma vigencia 2022 Cirugía de Cabeza y Cuello</t>
  </si>
  <si>
    <t>Promedio de cumplimiento de actividades que aplican según cronograma vigencia 2022 Programa de Rehabilitación Cardiaca</t>
  </si>
  <si>
    <t>UCI Coronaria</t>
  </si>
  <si>
    <t>Cirugía de Cabeza y Cuello</t>
  </si>
  <si>
    <t xml:space="preserve"> Programa Clínica de Dolor y Cuidado Paliativo</t>
  </si>
  <si>
    <t>Programa de Rehabilitación Cardiaca</t>
  </si>
  <si>
    <t>Número de actividades ejecutadas en la vigencia y que corresponde al periodo de medición según lo planeado / Número total de Actividades planeadas a ejecutar en la vigencia</t>
  </si>
  <si>
    <t>INDICADOR / PRODUCTO</t>
  </si>
  <si>
    <t>Línea base del programa de prevención de daño antijurídico HUSRT</t>
  </si>
  <si>
    <t>Definición líena base del programa de prevención de Daño Antijurídico</t>
  </si>
  <si>
    <t># Actividades ejecutadas del Programa de Gestión del Riesgo y prevención de daño antijurídico / # Actividades programadas  del Programa de Gestión del Riesgo y prevención de daño antijurídico</t>
  </si>
  <si>
    <t xml:space="preserve">Informe jurídico que contendrá recomendaciones, cuando sea el caso, respecto del impacto de la gestión de los eventos adversos, en relación con los tres servicios mayormente involucrados en procesos judiciales, conforme a  la línea base del programa </t>
  </si>
  <si>
    <t>Reporte cumplimiento 2do Triemstre</t>
  </si>
  <si>
    <t>Reporte cumplimiento 3erTriemstre</t>
  </si>
  <si>
    <t>Resultado indicador 1456 de Daruma</t>
  </si>
  <si>
    <t>Resultado indicador 1455 de Daruma</t>
  </si>
  <si>
    <t>Resultado indicador 1457 de Daruma</t>
  </si>
  <si>
    <t>Resultado indicador 1461 de Daruma</t>
  </si>
  <si>
    <t>Resultado indicador 1463 de Daruma</t>
  </si>
  <si>
    <t>Resultado indicador 1340 de Daruma</t>
  </si>
  <si>
    <t>Resultado indicador 1338 de Daruma</t>
  </si>
  <si>
    <t>Resultado indicador 546 de Daruma</t>
  </si>
  <si>
    <t>Resultado indicador 1435 de Daruma</t>
  </si>
  <si>
    <t>Resultado indicador 1460 de Daruma</t>
  </si>
  <si>
    <t>Resultado indicador 608 de Daruma</t>
  </si>
  <si>
    <t>Total Informes trimestrales presentados / Total Informes presentados exigibles</t>
  </si>
  <si>
    <t>&gt;=0,00</t>
  </si>
  <si>
    <t>Resultado indicador 620 de Daruma</t>
  </si>
  <si>
    <t>Evidencias aplicables al plan de acción del manual de daño antijurídico 
Informe de medición de las evidencias aplicables al plan de acción de manual de daño antijurídico</t>
  </si>
  <si>
    <t xml:space="preserve">Medición del mpacto de adherencia a guías, en relación con los servicios mayormente involucrados, conforme a la variación de la línea base del programa </t>
  </si>
  <si>
    <t xml:space="preserve">Informe jurídico que contendrá recomendaciones, cuando sea el caso, respecto del impacto de la adherencia o no a guías, con relación a los tres servicios mayormente involucrados en procesos judiciales, conforme a  la línea base del programa 
</t>
  </si>
  <si>
    <t xml:space="preserve">Medición del impacto de la gestión de eventos adversos, en relación con los servicios mayormente involucrados, conforme a la variación de línea base del programa </t>
  </si>
  <si>
    <t>Soportes documentales producto de la Ejecucción de las actividades del cronograma</t>
  </si>
  <si>
    <t>Cumplimiento actividades del programa de gestión del riesgo y prevención de daño antijurídico contenidas en el manual de daño antijurídico</t>
  </si>
  <si>
    <t>FORTALECIMIENTO ORGANIZACIONAL Y SIMPLIFICACION DE PROCESOS</t>
  </si>
  <si>
    <t>GESTIÓN DEL CONOCIMIENTO Y LA INNOVACIÓN</t>
  </si>
  <si>
    <t>CONFLICTO DE INTERESES</t>
  </si>
  <si>
    <t>EPIDEMIOLOGIA Y  SALUD PUBLICA</t>
  </si>
  <si>
    <t>PROMEDIO</t>
  </si>
  <si>
    <t>PROCESO Y / O SERVICIO</t>
  </si>
  <si>
    <t>Promedio</t>
  </si>
  <si>
    <t>GESTIÓN DE INVESTIGACIÓN E INNOVACIÓN</t>
  </si>
  <si>
    <t>GESTIÓN DE TALENTO HUMANO</t>
  </si>
  <si>
    <t>SISTEMA GESTIÓN AMBIENTAL</t>
  </si>
  <si>
    <t>AUDITORIA CUENTAS</t>
  </si>
  <si>
    <t>Cumplimiento de la facturación neta de la vigencia</t>
  </si>
  <si>
    <t>Facturación neta de la vigencia / Facturación neta definida en Plan Financiero para la vigencia</t>
  </si>
  <si>
    <t>Cumplimiento Recaudo de cartera</t>
  </si>
  <si>
    <t>GESTION DEL CONOCIMIENTO Y LA INNOVACIÓN</t>
  </si>
  <si>
    <t>Total recaudado en la vigencia / Total meta de recaudo definida para la vigencia en Plan Financiero</t>
  </si>
  <si>
    <t>Resultado indicador 1434 de Daruma</t>
  </si>
  <si>
    <t>Resultado indicador 1503 de Daruma</t>
  </si>
  <si>
    <t>Hospital Día</t>
  </si>
  <si>
    <t>RESULTADO 1er TRIMESTRE</t>
  </si>
  <si>
    <t>RESULTADO CONSOLIDADO 1er TRIMESTRE</t>
  </si>
  <si>
    <t>Coordinador Apoyo Servicios de Salud /  Humanización</t>
  </si>
  <si>
    <t>Asesor Prestación Servicios Salud Hospitalarios</t>
  </si>
  <si>
    <t>Reporte cumplimiento 1er trimestre</t>
  </si>
  <si>
    <t>Reporte cumplimiento 1er  trimestre</t>
  </si>
  <si>
    <t>META VIGENCIA 2023</t>
  </si>
  <si>
    <t>Resultado 1er Trimestre</t>
  </si>
  <si>
    <t>Resultado primer Trimestre</t>
  </si>
  <si>
    <t>RESULTADO CONSOLIDADO 4TOr TRIMESTRE</t>
  </si>
  <si>
    <t>Cumplimiento de actividades planeadas en Programa de Auditoría de Mejoramiento Continuo</t>
  </si>
  <si>
    <t>Evidencias Aplicables a actividades</t>
  </si>
  <si>
    <t>Referente Mejoramiento Continuio / Apoyo PAMEC</t>
  </si>
  <si>
    <t>Actividades ejecutadas / Actividades programadas *100</t>
  </si>
  <si>
    <t>PROMEDIO 1er TRIMESTRE</t>
  </si>
  <si>
    <t>Promedio de cumplimiento de actividades que aplican según cronograma vigencia 2023</t>
  </si>
  <si>
    <t>Electrofisiología</t>
  </si>
  <si>
    <t>Promedio de cumplimiento de actividades que aplican según cronograma vigencia 2022 Hospitalizl día</t>
  </si>
  <si>
    <t>Promedio de cumplimiento de actividades que aplican según cronograma vigencia 2023 Programa Clínica del Dolor y Cuidado Paliativo</t>
  </si>
  <si>
    <t>Promedio de cumplimiento de actividades que aplican según cronograma vigencia 2023 Electrofisiología</t>
  </si>
  <si>
    <t>Resultado PrimerTrimestre</t>
  </si>
  <si>
    <t>Resultado Primer Trimestre</t>
  </si>
  <si>
    <t>Reporte cumplimiento 1er Trimestre</t>
  </si>
  <si>
    <t>Diagnóstico
para Integraciones</t>
  </si>
  <si>
    <t>Diagnóstico para Integraciones</t>
  </si>
  <si>
    <t>Coordinador Sistemas de Información</t>
  </si>
  <si>
    <t>Resultad 1er Trimestre - Promedio</t>
  </si>
  <si>
    <t>%cumplimiento planes de formación que cumplen con indicador de eficacia</t>
  </si>
  <si>
    <t>No. de Planes de formación que cumplen con indicador de eficacia/Total de planes de formación del período</t>
  </si>
  <si>
    <t>&gt;=20%</t>
  </si>
  <si>
    <t>Informe de resultados de los planes de formación</t>
  </si>
  <si>
    <t>Medición de clima laboral(planta, E.S.T, CPS)</t>
  </si>
  <si>
    <t>No. Trabajadores a quien se aplica el instrumento/Total de trabajadores</t>
  </si>
  <si>
    <t xml:space="preserve">Informe de resultados del instrumento </t>
  </si>
  <si>
    <t>%cumplimiento cronograma de intervención clima laboral</t>
  </si>
  <si>
    <t>No. Actividades realizadas/Total de actividades programadas</t>
  </si>
  <si>
    <t>Formatos de asistencia</t>
  </si>
  <si>
    <t>% Asistencia del plan de bienestar del personal de planta</t>
  </si>
  <si>
    <t>Formatos de  asistencia</t>
  </si>
  <si>
    <t>ResultadoPrimer Trimestre</t>
  </si>
  <si>
    <t>Resultado  Primer Trimestre</t>
  </si>
  <si>
    <t xml:space="preserve">Ampliar la certificación en Buenas practicas de elaboración </t>
  </si>
  <si>
    <t>Implementación plan de trabajo BPE</t>
  </si>
  <si>
    <t>Implementación plan de trabajo BPM</t>
  </si>
  <si>
    <t xml:space="preserve"> Mantener la Certificación Cumplimiento de requisitos de Buenas practicas de elaboración</t>
  </si>
  <si>
    <t xml:space="preserve"> Mantener la Certificación Cumplimiento de requisitos de Buenas practicas de  manufactura</t>
  </si>
  <si>
    <t>Seguridad, Protección y bienestar del personal en formación internado Docencia-Servicio</t>
  </si>
  <si>
    <t>Resultados de aprendizaje y capacitación docente  Docencia-Servicio</t>
  </si>
  <si>
    <t>Agenda de capacitaciones de formación continua realizadas</t>
  </si>
  <si>
    <t>Número de reconocimientos docentes  / número de solicitudes</t>
  </si>
  <si>
    <t>Resolución Reconocimientos Universidades</t>
  </si>
  <si>
    <t>Número proyectos  publicados en revista</t>
  </si>
  <si>
    <t>Informe con diagnóstico de posibles sistemas a integrar</t>
  </si>
  <si>
    <t>&lt;15</t>
  </si>
  <si>
    <t>Número de personas que califican el servicio del HUSRT en Bueno / Total de pacientes encuestados *100</t>
  </si>
  <si>
    <t xml:space="preserve">Cumplimiento del Programa de Humanización </t>
  </si>
  <si>
    <t>Número de actividades ejecutadas / Total de Actividades progrmadas</t>
  </si>
  <si>
    <t>Informe de Avance</t>
  </si>
  <si>
    <t>% Usuarios que recomiendan el HUSRT</t>
  </si>
  <si>
    <t>Número de personas que recomendarian  la HUSRT en Bueno / Total de pacientes encuestados *100</t>
  </si>
  <si>
    <t>Actividades Ejecutadas del Cronograma / Actividades Planeadas en Cronograma</t>
  </si>
  <si>
    <t>Seguimiento de Costos de Paquetes Institucionales</t>
  </si>
  <si>
    <t>Seguimiento de Costos a Servicios y Especialidades</t>
  </si>
  <si>
    <t>(UVR acumulada periodo actual / UVR acumulada periodo anterior) - 1</t>
  </si>
  <si>
    <t>&gt;1,8%</t>
  </si>
  <si>
    <t>&gt;=95%</t>
  </si>
  <si>
    <t>(Total facturación reconocida / Número de UVR producidas vigencia actual ) / (Total facturación reconocida / Número de UVR producidas vigencia anterior ) - 1</t>
  </si>
  <si>
    <t>&gt; 0%</t>
  </si>
  <si>
    <r>
      <t>% Satisfacción con el servicio de la HUSRT (</t>
    </r>
    <r>
      <rPr>
        <sz val="10"/>
        <color theme="1"/>
        <rFont val="Tahoma"/>
        <family val="2"/>
      </rPr>
      <t>Calidad atención)</t>
    </r>
  </si>
  <si>
    <t>PLAN OPERATIVO ANUAL 2023</t>
  </si>
  <si>
    <t>1er TRIMESTRE</t>
  </si>
  <si>
    <t>CONTROL INTERNO</t>
  </si>
  <si>
    <t>Disminución de Quejas</t>
  </si>
  <si>
    <t xml:space="preserve">Número de Quejas </t>
  </si>
  <si>
    <t>Indicador Daruma (12)</t>
  </si>
  <si>
    <t>Indicador Daruma (444)
Informe (Trimetral)</t>
  </si>
  <si>
    <t>Indicador Daruma (697)</t>
  </si>
  <si>
    <t>(Facturación Salas Cirugía periodo evaluado / Facturación Salas de Cirugía periodo anterior) - 1</t>
  </si>
  <si>
    <t>Comportamiento facturación salas de cirugía</t>
  </si>
  <si>
    <t>Resultado indicador</t>
  </si>
  <si>
    <t>Línea base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</si>
</sst>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
    <numFmt numFmtId="166" formatCode="0.0"/>
    <numFmt numFmtId="167" formatCode="_(* #,##0_);_(* \(#,##0\);_(* &quot;-&quot;??_);_(@_)"/>
  </numFmts>
  <fonts count="48" x14ac:knownFonts="1">
    <font>
      <sz val="11"/>
      <color theme="1"/>
      <name val="Calibri"/>
      <family val="2"/>
      <scheme val="minor"/>
    </font>
    <font>
      <sz val="11"/>
      <color theme="1"/>
      <name val="Calibri"/>
      <family val="2"/>
      <scheme val="minor"/>
    </font>
    <font>
      <b/>
      <sz val="12"/>
      <color theme="1"/>
      <name val="Tahoma"/>
      <family val="2"/>
    </font>
    <font>
      <b/>
      <sz val="16"/>
      <color theme="1"/>
      <name val="Calibri"/>
      <family val="2"/>
      <scheme val="minor"/>
    </font>
    <font>
      <sz val="10"/>
      <color theme="1"/>
      <name val="Calibri"/>
      <family val="2"/>
      <scheme val="minor"/>
    </font>
    <font>
      <sz val="11"/>
      <color theme="1"/>
      <name val="Calibri"/>
      <family val="2"/>
    </font>
    <font>
      <b/>
      <sz val="10"/>
      <color theme="1"/>
      <name val="Tahoma"/>
      <family val="2"/>
    </font>
    <font>
      <b/>
      <sz val="11"/>
      <color theme="1"/>
      <name val="Tahoma"/>
      <family val="2"/>
    </font>
    <font>
      <sz val="10"/>
      <name val="Tahoma"/>
      <family val="2"/>
    </font>
    <font>
      <sz val="10"/>
      <color theme="1"/>
      <name val="Tahoma"/>
      <family val="2"/>
    </font>
    <font>
      <sz val="8"/>
      <name val="Tahoma"/>
      <family val="2"/>
    </font>
    <font>
      <sz val="20"/>
      <color theme="1"/>
      <name val="Calibri"/>
      <family val="2"/>
      <scheme val="minor"/>
    </font>
    <font>
      <sz val="22"/>
      <color theme="1"/>
      <name val="Calibri"/>
      <family val="2"/>
      <scheme val="minor"/>
    </font>
    <font>
      <b/>
      <sz val="10"/>
      <name val="Tahoma"/>
      <family val="2"/>
    </font>
    <font>
      <sz val="11"/>
      <color theme="1"/>
      <name val="Tahoma"/>
      <family val="2"/>
    </font>
    <font>
      <sz val="10"/>
      <color rgb="FFFF0000"/>
      <name val="Tahoma"/>
      <family val="2"/>
    </font>
    <font>
      <sz val="20"/>
      <color theme="1"/>
      <name val="Tahoma"/>
      <family val="2"/>
    </font>
    <font>
      <sz val="22"/>
      <color theme="1"/>
      <name val="Tahoma"/>
      <family val="2"/>
    </font>
    <font>
      <sz val="8"/>
      <color theme="1"/>
      <name val="Calibri"/>
      <family val="2"/>
      <scheme val="minor"/>
    </font>
    <font>
      <b/>
      <sz val="10"/>
      <color rgb="FF000000"/>
      <name val="Tahoma"/>
      <family val="2"/>
    </font>
    <font>
      <b/>
      <sz val="8"/>
      <color rgb="FF000000"/>
      <name val="Tahoma"/>
      <family val="2"/>
    </font>
    <font>
      <sz val="9"/>
      <color rgb="FF000000"/>
      <name val="Tahoma"/>
      <family val="2"/>
    </font>
    <font>
      <sz val="8"/>
      <color rgb="FF000000"/>
      <name val="Tahoma"/>
      <family val="2"/>
    </font>
    <font>
      <sz val="18"/>
      <color theme="1"/>
      <name val="Tahoma"/>
      <family val="2"/>
    </font>
    <font>
      <b/>
      <sz val="12"/>
      <color theme="1"/>
      <name val="Calibri"/>
      <family val="2"/>
      <scheme val="minor"/>
    </font>
    <font>
      <b/>
      <sz val="12"/>
      <color rgb="FF000000"/>
      <name val="Calibri"/>
      <family val="2"/>
    </font>
    <font>
      <sz val="12"/>
      <color theme="1"/>
      <name val="Calibri"/>
      <family val="2"/>
      <scheme val="minor"/>
    </font>
    <font>
      <b/>
      <sz val="18"/>
      <color theme="1"/>
      <name val="Calibri"/>
      <family val="2"/>
      <scheme val="minor"/>
    </font>
    <font>
      <b/>
      <sz val="12"/>
      <name val="Tahoma"/>
      <family val="2"/>
    </font>
    <font>
      <u/>
      <sz val="11"/>
      <color theme="10"/>
      <name val="Calibri"/>
      <family val="2"/>
    </font>
    <font>
      <sz val="12"/>
      <color theme="7" tint="-0.499984740745262"/>
      <name val="Calibri"/>
      <family val="2"/>
      <scheme val="minor"/>
    </font>
    <font>
      <sz val="12"/>
      <name val="Tahoma"/>
      <family val="2"/>
    </font>
    <font>
      <u/>
      <sz val="12"/>
      <color theme="7" tint="-0.499984740745262"/>
      <name val="Calibri"/>
      <family val="2"/>
    </font>
    <font>
      <u/>
      <sz val="12"/>
      <color theme="7" tint="-0.499984740745262"/>
      <name val="Calibri"/>
      <family val="2"/>
      <scheme val="minor"/>
    </font>
    <font>
      <b/>
      <sz val="12"/>
      <name val="Calibri"/>
      <family val="2"/>
      <scheme val="minor"/>
    </font>
    <font>
      <b/>
      <sz val="9"/>
      <color theme="1"/>
      <name val="Tahoma"/>
      <family val="2"/>
    </font>
    <font>
      <sz val="8"/>
      <name val="Calibri"/>
      <family val="2"/>
      <scheme val="minor"/>
    </font>
    <font>
      <b/>
      <sz val="8"/>
      <name val="Tahoma"/>
      <family val="2"/>
    </font>
    <font>
      <b/>
      <sz val="8"/>
      <color theme="1"/>
      <name val="Tahoma"/>
      <family val="2"/>
    </font>
    <font>
      <sz val="9"/>
      <name val="Tahoma"/>
      <family val="2"/>
    </font>
    <font>
      <sz val="11"/>
      <name val="Tahoma"/>
      <family val="2"/>
    </font>
    <font>
      <sz val="12"/>
      <color theme="1"/>
      <name val="Tahoma"/>
      <family val="2"/>
    </font>
    <font>
      <sz val="9"/>
      <color indexed="81"/>
      <name val="Tahoma"/>
      <family val="2"/>
    </font>
    <font>
      <b/>
      <sz val="9"/>
      <color indexed="81"/>
      <name val="Tahoma"/>
      <family val="2"/>
    </font>
    <font>
      <sz val="14"/>
      <color theme="1"/>
      <name val="Tahoma"/>
      <family val="2"/>
    </font>
    <font>
      <sz val="16"/>
      <color theme="1"/>
      <name val="Tahoma"/>
      <family val="2"/>
    </font>
    <font>
      <b/>
      <sz val="14"/>
      <color theme="1"/>
      <name val="Calibri"/>
      <family val="2"/>
      <scheme val="minor"/>
    </font>
    <font>
      <sz val="9"/>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CAC0DA"/>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rgb="FFD9D2E4"/>
        <bgColor indexed="64"/>
      </patternFill>
    </fill>
    <fill>
      <patternFill patternType="solid">
        <fgColor rgb="FFAFEAFF"/>
        <bgColor indexed="64"/>
      </patternFill>
    </fill>
    <fill>
      <patternFill patternType="solid">
        <fgColor rgb="FFFFFF00"/>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10" fillId="0" borderId="0"/>
    <xf numFmtId="0" fontId="1" fillId="0" borderId="0"/>
    <xf numFmtId="0" fontId="29" fillId="0" borderId="0" applyNumberFormat="0" applyFill="0" applyBorder="0" applyAlignment="0" applyProtection="0">
      <alignment vertical="top"/>
      <protection locked="0"/>
    </xf>
    <xf numFmtId="43" fontId="1" fillId="0" borderId="0" applyFont="0" applyFill="0" applyBorder="0" applyAlignment="0" applyProtection="0"/>
  </cellStyleXfs>
  <cellXfs count="748">
    <xf numFmtId="0" fontId="0" fillId="0" borderId="0" xfId="0"/>
    <xf numFmtId="0" fontId="2" fillId="0" borderId="1" xfId="0" applyFont="1" applyBorder="1" applyAlignment="1" applyProtection="1">
      <alignment horizontal="center" vertical="center"/>
      <protection locked="0"/>
    </xf>
    <xf numFmtId="0" fontId="4" fillId="0" borderId="0" xfId="0" applyFont="1" applyProtection="1">
      <protection locked="0"/>
    </xf>
    <xf numFmtId="0" fontId="4" fillId="0" borderId="0" xfId="0" applyFont="1" applyAlignment="1" applyProtection="1">
      <alignment horizontal="center"/>
      <protection locked="0"/>
    </xf>
    <xf numFmtId="9" fontId="6" fillId="2" borderId="7" xfId="2" applyFont="1" applyFill="1" applyBorder="1" applyAlignment="1" applyProtection="1">
      <alignment horizontal="center" vertical="center" wrapText="1"/>
      <protection locked="0"/>
    </xf>
    <xf numFmtId="9" fontId="6" fillId="4" borderId="7" xfId="2" applyFont="1" applyFill="1" applyBorder="1" applyAlignment="1" applyProtection="1">
      <alignment horizontal="center" vertical="center" wrapText="1"/>
      <protection locked="0"/>
    </xf>
    <xf numFmtId="9" fontId="8" fillId="0" borderId="7" xfId="3" applyNumberFormat="1" applyFont="1" applyBorder="1" applyAlignment="1" applyProtection="1">
      <alignment horizontal="center" vertical="center" wrapText="1"/>
      <protection locked="0"/>
    </xf>
    <xf numFmtId="9" fontId="8" fillId="0" borderId="7" xfId="2" applyFont="1" applyFill="1" applyBorder="1" applyAlignment="1" applyProtection="1">
      <alignment horizontal="center" vertical="center"/>
    </xf>
    <xf numFmtId="165" fontId="8" fillId="0" borderId="7" xfId="2" applyNumberFormat="1" applyFont="1" applyFill="1" applyBorder="1" applyAlignment="1" applyProtection="1">
      <alignment horizontal="center" vertical="center"/>
    </xf>
    <xf numFmtId="9" fontId="4" fillId="3" borderId="7" xfId="2" applyFont="1" applyFill="1" applyBorder="1" applyAlignment="1" applyProtection="1">
      <alignment vertical="center"/>
    </xf>
    <xf numFmtId="9" fontId="8" fillId="0" borderId="11" xfId="2" applyFont="1" applyFill="1" applyBorder="1" applyAlignment="1" applyProtection="1">
      <alignment horizontal="center" vertical="center"/>
      <protection locked="0"/>
    </xf>
    <xf numFmtId="0" fontId="8" fillId="0" borderId="7" xfId="3" applyFont="1" applyBorder="1" applyAlignment="1" applyProtection="1">
      <alignment horizontal="center" vertical="center" wrapText="1"/>
      <protection locked="0"/>
    </xf>
    <xf numFmtId="0" fontId="8" fillId="0" borderId="7" xfId="3" applyFont="1" applyBorder="1" applyAlignment="1" applyProtection="1">
      <alignment vertical="center" wrapText="1"/>
      <protection locked="0"/>
    </xf>
    <xf numFmtId="9" fontId="8" fillId="0" borderId="11" xfId="2" applyFont="1" applyFill="1" applyBorder="1" applyAlignment="1" applyProtection="1">
      <alignment horizontal="center" vertical="center"/>
    </xf>
    <xf numFmtId="0" fontId="9" fillId="0" borderId="0" xfId="0" applyFont="1" applyAlignment="1">
      <alignment vertical="center" wrapText="1"/>
    </xf>
    <xf numFmtId="164" fontId="8" fillId="0" borderId="7" xfId="1" applyFont="1" applyFill="1" applyBorder="1" applyAlignment="1" applyProtection="1">
      <alignment horizontal="center" vertical="center" wrapText="1"/>
      <protection locked="0"/>
    </xf>
    <xf numFmtId="166" fontId="8" fillId="0" borderId="7" xfId="3" applyNumberFormat="1" applyFont="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xf>
    <xf numFmtId="9" fontId="8" fillId="0" borderId="7" xfId="4" applyNumberFormat="1" applyFont="1" applyBorder="1" applyAlignment="1" applyProtection="1">
      <alignment horizontal="center" vertical="center" wrapText="1"/>
      <protection locked="0"/>
    </xf>
    <xf numFmtId="0" fontId="8" fillId="0" borderId="7" xfId="4" applyFont="1" applyBorder="1" applyAlignment="1" applyProtection="1">
      <alignment vertical="center" wrapText="1"/>
      <protection locked="0"/>
    </xf>
    <xf numFmtId="1" fontId="8" fillId="0" borderId="7" xfId="1" applyNumberFormat="1" applyFont="1" applyFill="1" applyBorder="1" applyAlignment="1" applyProtection="1">
      <alignment horizontal="center" vertical="center" wrapText="1"/>
      <protection locked="0"/>
    </xf>
    <xf numFmtId="1" fontId="8" fillId="0" borderId="7" xfId="3" applyNumberFormat="1" applyFont="1" applyBorder="1" applyAlignment="1" applyProtection="1">
      <alignment horizontal="center" vertical="center" wrapText="1"/>
      <protection locked="0"/>
    </xf>
    <xf numFmtId="0" fontId="8" fillId="0" borderId="7" xfId="4" applyFont="1" applyBorder="1" applyAlignment="1" applyProtection="1">
      <alignment horizontal="left" vertical="center" wrapText="1"/>
      <protection locked="0"/>
    </xf>
    <xf numFmtId="9" fontId="4" fillId="3" borderId="7" xfId="2" applyFont="1" applyFill="1" applyBorder="1" applyProtection="1">
      <protection locked="0"/>
    </xf>
    <xf numFmtId="9" fontId="12" fillId="5" borderId="7" xfId="2" applyFont="1" applyFill="1" applyBorder="1" applyAlignment="1" applyProtection="1">
      <alignment horizontal="center" vertical="center"/>
      <protection locked="0"/>
    </xf>
    <xf numFmtId="9" fontId="9" fillId="7" borderId="7" xfId="2" applyFont="1" applyFill="1" applyBorder="1" applyAlignment="1" applyProtection="1">
      <alignment horizontal="center" vertical="center"/>
    </xf>
    <xf numFmtId="0" fontId="9" fillId="0" borderId="7" xfId="0" applyFont="1" applyBorder="1" applyProtection="1">
      <protection locked="0"/>
    </xf>
    <xf numFmtId="0" fontId="9" fillId="0" borderId="7" xfId="0" applyFont="1" applyBorder="1" applyAlignment="1" applyProtection="1">
      <alignment horizontal="justify" vertical="top"/>
      <protection locked="0"/>
    </xf>
    <xf numFmtId="0" fontId="9" fillId="0" borderId="0" xfId="0" applyFont="1" applyProtection="1">
      <protection locked="0"/>
    </xf>
    <xf numFmtId="0" fontId="8" fillId="0" borderId="7" xfId="0" applyFont="1" applyBorder="1" applyAlignment="1" applyProtection="1">
      <alignment horizontal="justify" vertical="top"/>
      <protection locked="0"/>
    </xf>
    <xf numFmtId="0" fontId="15" fillId="0" borderId="7" xfId="0" applyFont="1" applyBorder="1" applyAlignment="1" applyProtection="1">
      <alignment horizontal="justify" vertical="top"/>
      <protection locked="0"/>
    </xf>
    <xf numFmtId="0" fontId="6" fillId="0" borderId="7" xfId="0" applyFont="1" applyBorder="1" applyAlignment="1" applyProtection="1">
      <alignment horizontal="center" vertical="center" wrapText="1"/>
      <protection locked="0"/>
    </xf>
    <xf numFmtId="0" fontId="9" fillId="0" borderId="7" xfId="0" applyFont="1" applyBorder="1" applyAlignment="1" applyProtection="1">
      <alignment vertical="center"/>
      <protection locked="0"/>
    </xf>
    <xf numFmtId="0" fontId="9" fillId="0" borderId="7"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protection locked="0"/>
    </xf>
    <xf numFmtId="0" fontId="9" fillId="0" borderId="0" xfId="0" applyFont="1" applyAlignment="1" applyProtection="1">
      <alignment vertical="center"/>
      <protection locked="0"/>
    </xf>
    <xf numFmtId="9" fontId="9" fillId="0" borderId="0" xfId="2" applyFont="1" applyProtection="1">
      <protection locked="0"/>
    </xf>
    <xf numFmtId="9" fontId="4" fillId="7" borderId="7" xfId="2" applyFont="1" applyFill="1" applyBorder="1" applyAlignment="1" applyProtection="1">
      <alignment vertical="center"/>
    </xf>
    <xf numFmtId="9" fontId="8" fillId="8" borderId="7" xfId="3" applyNumberFormat="1" applyFont="1" applyFill="1" applyBorder="1" applyAlignment="1" applyProtection="1">
      <alignment horizontal="center" vertical="center" wrapText="1"/>
      <protection locked="0"/>
    </xf>
    <xf numFmtId="0" fontId="8" fillId="8" borderId="7" xfId="3" applyFont="1" applyFill="1" applyBorder="1" applyAlignment="1" applyProtection="1">
      <alignment horizontal="center" vertical="center" wrapText="1"/>
      <protection locked="0"/>
    </xf>
    <xf numFmtId="9" fontId="8" fillId="8" borderId="7" xfId="4" applyNumberFormat="1" applyFont="1" applyFill="1" applyBorder="1" applyAlignment="1" applyProtection="1">
      <alignment horizontal="center" vertical="center" wrapText="1"/>
      <protection locked="0"/>
    </xf>
    <xf numFmtId="9" fontId="8" fillId="9" borderId="7" xfId="2" applyFont="1" applyFill="1" applyBorder="1" applyAlignment="1" applyProtection="1">
      <alignment horizontal="center" vertical="center"/>
    </xf>
    <xf numFmtId="165" fontId="8" fillId="9" borderId="7" xfId="2" applyNumberFormat="1" applyFont="1" applyFill="1" applyBorder="1" applyAlignment="1" applyProtection="1">
      <alignment horizontal="center" vertical="center"/>
    </xf>
    <xf numFmtId="9" fontId="8" fillId="9" borderId="7" xfId="2" applyFont="1" applyFill="1" applyBorder="1" applyAlignment="1" applyProtection="1">
      <alignment horizontal="center" vertical="center"/>
      <protection locked="0"/>
    </xf>
    <xf numFmtId="0" fontId="8" fillId="0" borderId="11" xfId="3" applyFont="1" applyBorder="1" applyAlignment="1" applyProtection="1">
      <alignment horizontal="left" vertical="center" wrapText="1"/>
      <protection locked="0"/>
    </xf>
    <xf numFmtId="0" fontId="8" fillId="0" borderId="11" xfId="3" applyFont="1" applyBorder="1" applyAlignment="1" applyProtection="1">
      <alignment horizontal="center" vertical="center" wrapText="1"/>
      <protection locked="0"/>
    </xf>
    <xf numFmtId="9" fontId="8" fillId="0" borderId="11" xfId="3" applyNumberFormat="1" applyFont="1" applyBorder="1" applyAlignment="1" applyProtection="1">
      <alignment horizontal="center" vertical="center" wrapText="1"/>
      <protection locked="0"/>
    </xf>
    <xf numFmtId="0" fontId="0" fillId="0" borderId="0" xfId="0" applyAlignment="1">
      <alignment wrapText="1"/>
    </xf>
    <xf numFmtId="0" fontId="18" fillId="0" borderId="0" xfId="0" applyFont="1" applyAlignment="1">
      <alignment wrapText="1"/>
    </xf>
    <xf numFmtId="0" fontId="21" fillId="0" borderId="7" xfId="0" applyFont="1" applyBorder="1" applyAlignment="1">
      <alignment horizontal="center" vertical="center"/>
    </xf>
    <xf numFmtId="0" fontId="21" fillId="0" borderId="7" xfId="0" applyFont="1" applyBorder="1" applyAlignment="1">
      <alignment horizontal="justify" vertical="center"/>
    </xf>
    <xf numFmtId="0" fontId="21" fillId="0" borderId="7" xfId="0" applyFont="1" applyBorder="1" applyAlignment="1">
      <alignment horizontal="center" vertical="center" wrapText="1"/>
    </xf>
    <xf numFmtId="0" fontId="22" fillId="0" borderId="7" xfId="0" applyFont="1" applyBorder="1" applyAlignment="1">
      <alignment horizontal="center" vertical="center" wrapText="1"/>
    </xf>
    <xf numFmtId="9" fontId="8" fillId="0" borderId="7" xfId="2" applyFont="1" applyFill="1" applyBorder="1" applyAlignment="1" applyProtection="1">
      <alignment horizontal="center" vertical="center" wrapText="1"/>
      <protection locked="0"/>
    </xf>
    <xf numFmtId="9" fontId="9" fillId="0" borderId="0" xfId="2" applyFont="1" applyAlignment="1" applyProtection="1">
      <alignment horizontal="center" vertical="center"/>
      <protection locked="0"/>
    </xf>
    <xf numFmtId="9" fontId="8" fillId="0" borderId="7" xfId="2" applyFont="1" applyFill="1" applyBorder="1" applyAlignment="1" applyProtection="1">
      <alignment horizontal="center" vertical="center" wrapText="1"/>
    </xf>
    <xf numFmtId="9" fontId="16" fillId="0" borderId="13" xfId="2" applyFont="1" applyFill="1" applyBorder="1" applyAlignment="1" applyProtection="1">
      <alignment horizontal="center" vertical="center"/>
      <protection locked="0"/>
    </xf>
    <xf numFmtId="9" fontId="16" fillId="0" borderId="7" xfId="2" applyFont="1" applyFill="1" applyBorder="1" applyAlignment="1" applyProtection="1">
      <alignment horizontal="center" vertical="center"/>
      <protection locked="0"/>
    </xf>
    <xf numFmtId="0" fontId="9" fillId="0" borderId="0" xfId="0" applyFont="1" applyAlignment="1" applyProtection="1">
      <alignment wrapText="1"/>
      <protection locked="0"/>
    </xf>
    <xf numFmtId="0" fontId="9" fillId="0" borderId="7" xfId="0" applyFont="1" applyBorder="1" applyAlignment="1" applyProtection="1">
      <alignment wrapText="1"/>
      <protection locked="0"/>
    </xf>
    <xf numFmtId="0" fontId="14" fillId="0" borderId="7" xfId="3" applyFont="1" applyBorder="1" applyAlignment="1">
      <alignment vertical="center" wrapText="1"/>
    </xf>
    <xf numFmtId="0" fontId="14" fillId="0" borderId="7" xfId="3" applyFont="1" applyBorder="1" applyAlignment="1">
      <alignment horizontal="center" vertical="center" wrapText="1"/>
    </xf>
    <xf numFmtId="0" fontId="8" fillId="0" borderId="11" xfId="4" applyFont="1" applyBorder="1" applyAlignment="1" applyProtection="1">
      <alignment horizontal="left" vertical="center" wrapText="1"/>
      <protection locked="0"/>
    </xf>
    <xf numFmtId="0" fontId="0" fillId="0" borderId="0" xfId="0" applyAlignment="1">
      <alignment horizontal="center"/>
    </xf>
    <xf numFmtId="9" fontId="8" fillId="0" borderId="7" xfId="2" applyFont="1" applyFill="1" applyBorder="1" applyAlignment="1" applyProtection="1">
      <alignment horizontal="center" vertical="center"/>
      <protection locked="0"/>
    </xf>
    <xf numFmtId="9" fontId="9" fillId="0" borderId="7" xfId="2" applyFont="1" applyFill="1" applyBorder="1" applyAlignment="1" applyProtection="1">
      <alignment horizontal="center" vertical="center"/>
    </xf>
    <xf numFmtId="0" fontId="9" fillId="0" borderId="0" xfId="0" applyFont="1" applyAlignment="1" applyProtection="1">
      <alignment horizontal="center" vertical="center"/>
      <protection locked="0"/>
    </xf>
    <xf numFmtId="0" fontId="9" fillId="0" borderId="7" xfId="0" applyFont="1" applyBorder="1" applyAlignment="1">
      <alignment vertical="center" wrapText="1"/>
    </xf>
    <xf numFmtId="167" fontId="8" fillId="0" borderId="7" xfId="1" applyNumberFormat="1" applyFont="1" applyFill="1" applyBorder="1" applyAlignment="1" applyProtection="1">
      <alignment horizontal="center" vertical="center" wrapText="1"/>
      <protection locked="0"/>
    </xf>
    <xf numFmtId="167" fontId="8" fillId="0" borderId="7" xfId="1" applyNumberFormat="1" applyFont="1" applyFill="1" applyBorder="1" applyAlignment="1" applyProtection="1">
      <alignment horizontal="center" vertical="center" wrapText="1"/>
    </xf>
    <xf numFmtId="167" fontId="8" fillId="0" borderId="7" xfId="1" applyNumberFormat="1" applyFont="1" applyFill="1" applyBorder="1" applyAlignment="1" applyProtection="1">
      <alignment horizontal="center" vertical="center"/>
      <protection locked="0"/>
    </xf>
    <xf numFmtId="167" fontId="16" fillId="0" borderId="13" xfId="1"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 fontId="8" fillId="0" borderId="7" xfId="2" applyNumberFormat="1" applyFont="1" applyBorder="1" applyAlignment="1">
      <alignment horizontal="center" vertical="center" wrapText="1"/>
    </xf>
    <xf numFmtId="0" fontId="8" fillId="10" borderId="7"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9" fillId="0" borderId="7" xfId="3" applyFont="1" applyBorder="1" applyAlignment="1">
      <alignment horizontal="center" vertical="center" wrapText="1"/>
    </xf>
    <xf numFmtId="9" fontId="8" fillId="0" borderId="7" xfId="3" applyNumberFormat="1" applyFont="1" applyBorder="1" applyAlignment="1" applyProtection="1">
      <alignment vertical="center" wrapText="1"/>
      <protection locked="0"/>
    </xf>
    <xf numFmtId="0" fontId="26" fillId="12" borderId="20" xfId="0" applyFont="1" applyFill="1" applyBorder="1"/>
    <xf numFmtId="0" fontId="26" fillId="12" borderId="21" xfId="0" applyFont="1" applyFill="1" applyBorder="1"/>
    <xf numFmtId="0" fontId="26" fillId="12" borderId="22" xfId="0" applyFont="1" applyFill="1" applyBorder="1"/>
    <xf numFmtId="0" fontId="24" fillId="12" borderId="23" xfId="0" applyFont="1" applyFill="1" applyBorder="1"/>
    <xf numFmtId="0" fontId="26" fillId="12" borderId="0" xfId="0" applyFont="1" applyFill="1"/>
    <xf numFmtId="9" fontId="28" fillId="12" borderId="14" xfId="0" applyNumberFormat="1" applyFont="1" applyFill="1" applyBorder="1"/>
    <xf numFmtId="9" fontId="28" fillId="12" borderId="24" xfId="0" applyNumberFormat="1" applyFont="1" applyFill="1" applyBorder="1"/>
    <xf numFmtId="0" fontId="26" fillId="12" borderId="23" xfId="0" applyFont="1" applyFill="1" applyBorder="1"/>
    <xf numFmtId="0" fontId="26" fillId="12" borderId="25" xfId="0" applyFont="1" applyFill="1" applyBorder="1"/>
    <xf numFmtId="0" fontId="30" fillId="12" borderId="0" xfId="0" applyFont="1" applyFill="1"/>
    <xf numFmtId="0" fontId="32" fillId="12" borderId="25" xfId="6" applyFont="1" applyFill="1" applyBorder="1" applyAlignment="1" applyProtection="1"/>
    <xf numFmtId="0" fontId="32" fillId="12" borderId="26" xfId="6" applyFont="1" applyFill="1" applyBorder="1" applyAlignment="1" applyProtection="1"/>
    <xf numFmtId="0" fontId="30" fillId="12" borderId="25" xfId="0" applyFont="1" applyFill="1" applyBorder="1"/>
    <xf numFmtId="0" fontId="26" fillId="12" borderId="27" xfId="0" applyFont="1" applyFill="1" applyBorder="1"/>
    <xf numFmtId="0" fontId="32" fillId="12" borderId="0" xfId="6" applyFont="1" applyFill="1" applyBorder="1" applyAlignment="1" applyProtection="1"/>
    <xf numFmtId="0" fontId="33" fillId="12" borderId="23" xfId="0" applyFont="1" applyFill="1" applyBorder="1"/>
    <xf numFmtId="0" fontId="26" fillId="12" borderId="28" xfId="0" applyFont="1" applyFill="1" applyBorder="1"/>
    <xf numFmtId="0" fontId="30" fillId="12" borderId="10" xfId="0" applyFont="1" applyFill="1" applyBorder="1"/>
    <xf numFmtId="0" fontId="26" fillId="12" borderId="10" xfId="0" applyFont="1" applyFill="1" applyBorder="1"/>
    <xf numFmtId="0" fontId="30" fillId="12" borderId="29" xfId="0" applyFont="1" applyFill="1" applyBorder="1"/>
    <xf numFmtId="0" fontId="30" fillId="12" borderId="28" xfId="0" applyFont="1" applyFill="1" applyBorder="1"/>
    <xf numFmtId="0" fontId="26" fillId="12" borderId="29" xfId="0" applyFont="1" applyFill="1" applyBorder="1"/>
    <xf numFmtId="9" fontId="24" fillId="11" borderId="30" xfId="2" applyFont="1" applyFill="1" applyBorder="1" applyAlignment="1">
      <alignment horizontal="center" vertical="center"/>
    </xf>
    <xf numFmtId="0" fontId="9" fillId="0" borderId="7" xfId="0" applyFont="1" applyBorder="1" applyAlignment="1">
      <alignment horizontal="center" vertical="center" wrapText="1"/>
    </xf>
    <xf numFmtId="9" fontId="8" fillId="0" borderId="7" xfId="0" applyNumberFormat="1" applyFont="1" applyBorder="1" applyAlignment="1">
      <alignment horizontal="center" vertical="center" wrapText="1"/>
    </xf>
    <xf numFmtId="0" fontId="9" fillId="0" borderId="0" xfId="0" applyFont="1" applyAlignment="1" applyProtection="1">
      <alignment horizontal="center"/>
      <protection locked="0"/>
    </xf>
    <xf numFmtId="0" fontId="24" fillId="12" borderId="0" xfId="0" applyFont="1" applyFill="1"/>
    <xf numFmtId="0" fontId="33" fillId="12" borderId="10" xfId="0" applyFont="1" applyFill="1" applyBorder="1"/>
    <xf numFmtId="0" fontId="0" fillId="13" borderId="0" xfId="0" applyFill="1"/>
    <xf numFmtId="0" fontId="26" fillId="13" borderId="19" xfId="0" applyFont="1" applyFill="1" applyBorder="1" applyAlignment="1">
      <alignment horizontal="center"/>
    </xf>
    <xf numFmtId="0" fontId="26" fillId="13" borderId="0" xfId="0" applyFont="1" applyFill="1"/>
    <xf numFmtId="0" fontId="26" fillId="13" borderId="7" xfId="0" applyFont="1" applyFill="1" applyBorder="1"/>
    <xf numFmtId="0" fontId="26" fillId="13" borderId="7" xfId="0" applyFont="1" applyFill="1" applyBorder="1" applyAlignment="1">
      <alignment horizontal="center"/>
    </xf>
    <xf numFmtId="9" fontId="26" fillId="13" borderId="0" xfId="0" applyNumberFormat="1" applyFont="1" applyFill="1"/>
    <xf numFmtId="0" fontId="0" fillId="0" borderId="26" xfId="0" applyBorder="1" applyAlignment="1">
      <alignment vertical="top" wrapText="1"/>
    </xf>
    <xf numFmtId="0" fontId="0" fillId="0" borderId="26" xfId="0" applyBorder="1" applyAlignment="1">
      <alignment vertical="center" wrapText="1"/>
    </xf>
    <xf numFmtId="0" fontId="0" fillId="13" borderId="22" xfId="0" applyFill="1" applyBorder="1"/>
    <xf numFmtId="0" fontId="0" fillId="13" borderId="25" xfId="0" applyFill="1" applyBorder="1"/>
    <xf numFmtId="0" fontId="0" fillId="13" borderId="29" xfId="0" applyFill="1" applyBorder="1"/>
    <xf numFmtId="9" fontId="8" fillId="0" borderId="7" xfId="2" applyFont="1" applyBorder="1" applyAlignment="1">
      <alignment horizontal="center" vertical="center"/>
    </xf>
    <xf numFmtId="9" fontId="16" fillId="2" borderId="13" xfId="2" applyFont="1" applyFill="1" applyBorder="1" applyAlignment="1" applyProtection="1">
      <alignment horizontal="center" vertical="center"/>
      <protection locked="0"/>
    </xf>
    <xf numFmtId="9" fontId="8" fillId="0" borderId="7" xfId="2" applyFont="1" applyFill="1" applyBorder="1" applyAlignment="1">
      <alignment horizontal="center" vertical="center"/>
    </xf>
    <xf numFmtId="9" fontId="8" fillId="2" borderId="7" xfId="0" applyNumberFormat="1" applyFont="1" applyFill="1" applyBorder="1" applyAlignment="1">
      <alignment horizontal="center" vertical="center" wrapText="1"/>
    </xf>
    <xf numFmtId="167" fontId="16" fillId="2" borderId="13" xfId="1" applyNumberFormat="1" applyFont="1" applyFill="1" applyBorder="1" applyAlignment="1" applyProtection="1">
      <alignment horizontal="center" vertical="center"/>
      <protection locked="0"/>
    </xf>
    <xf numFmtId="0" fontId="0" fillId="2" borderId="7" xfId="0" applyFill="1" applyBorder="1"/>
    <xf numFmtId="9" fontId="9" fillId="0" borderId="0" xfId="2" applyFont="1" applyFill="1" applyAlignment="1" applyProtection="1">
      <alignment horizontal="center" vertical="center"/>
      <protection locked="0"/>
    </xf>
    <xf numFmtId="9" fontId="6" fillId="0" borderId="7" xfId="2" applyFont="1" applyFill="1" applyBorder="1" applyAlignment="1" applyProtection="1">
      <alignment horizontal="center" vertical="center" wrapText="1"/>
      <protection locked="0"/>
    </xf>
    <xf numFmtId="9" fontId="8" fillId="0" borderId="13" xfId="2" applyFont="1" applyFill="1" applyBorder="1" applyAlignment="1" applyProtection="1">
      <alignment horizontal="center" vertical="center" wrapText="1"/>
    </xf>
    <xf numFmtId="0" fontId="0" fillId="0" borderId="13" xfId="0" applyBorder="1"/>
    <xf numFmtId="0" fontId="9" fillId="0" borderId="7" xfId="0" applyFont="1" applyBorder="1" applyAlignment="1" applyProtection="1">
      <alignment vertical="center" wrapText="1"/>
      <protection locked="0"/>
    </xf>
    <xf numFmtId="0" fontId="0" fillId="0" borderId="7" xfId="0" applyBorder="1" applyAlignment="1">
      <alignment vertical="center" wrapText="1"/>
    </xf>
    <xf numFmtId="9" fontId="9" fillId="0" borderId="7" xfId="2" applyFont="1" applyFill="1" applyBorder="1" applyAlignment="1" applyProtection="1">
      <alignment horizontal="left" vertical="center" wrapText="1"/>
      <protection locked="0"/>
    </xf>
    <xf numFmtId="9" fontId="9" fillId="0" borderId="7" xfId="2" applyFont="1" applyFill="1" applyBorder="1" applyAlignment="1" applyProtection="1">
      <alignment horizontal="center" vertical="center" wrapText="1"/>
    </xf>
    <xf numFmtId="1" fontId="9" fillId="0" borderId="7" xfId="1" applyNumberFormat="1" applyFont="1" applyFill="1" applyBorder="1" applyAlignment="1" applyProtection="1">
      <alignment horizontal="center" vertical="center"/>
    </xf>
    <xf numFmtId="9" fontId="31" fillId="0" borderId="7" xfId="0" applyNumberFormat="1" applyFont="1" applyBorder="1"/>
    <xf numFmtId="0" fontId="8" fillId="0" borderId="7" xfId="2" applyNumberFormat="1" applyFont="1" applyFill="1" applyBorder="1" applyAlignment="1" applyProtection="1">
      <alignment horizontal="center" vertical="center" wrapText="1"/>
    </xf>
    <xf numFmtId="0" fontId="8" fillId="0" borderId="7" xfId="2" applyNumberFormat="1" applyFont="1" applyFill="1" applyBorder="1" applyAlignment="1" applyProtection="1">
      <alignment horizontal="center" vertical="center" wrapText="1"/>
      <protection locked="0"/>
    </xf>
    <xf numFmtId="0" fontId="26" fillId="13" borderId="3" xfId="0" applyFont="1" applyFill="1" applyBorder="1"/>
    <xf numFmtId="0" fontId="8" fillId="0" borderId="7" xfId="0" applyFont="1" applyBorder="1" applyAlignment="1">
      <alignment horizontal="center" vertical="center" wrapText="1"/>
    </xf>
    <xf numFmtId="9" fontId="37" fillId="12" borderId="33" xfId="0" applyNumberFormat="1" applyFont="1" applyFill="1" applyBorder="1"/>
    <xf numFmtId="0" fontId="16" fillId="2" borderId="7" xfId="0" applyFont="1" applyFill="1" applyBorder="1" applyAlignment="1" applyProtection="1">
      <alignment horizontal="center" vertical="center"/>
      <protection locked="0"/>
    </xf>
    <xf numFmtId="167" fontId="16" fillId="2" borderId="11" xfId="1" applyNumberFormat="1" applyFont="1" applyFill="1" applyBorder="1" applyAlignment="1" applyProtection="1">
      <alignment horizontal="center" vertical="center"/>
      <protection locked="0"/>
    </xf>
    <xf numFmtId="0" fontId="6" fillId="2" borderId="35" xfId="3" applyFont="1" applyFill="1" applyBorder="1" applyAlignment="1" applyProtection="1">
      <alignment horizontal="center" vertical="center" wrapText="1"/>
      <protection locked="0"/>
    </xf>
    <xf numFmtId="9" fontId="6" fillId="2" borderId="4" xfId="2" applyFont="1" applyFill="1" applyBorder="1" applyAlignment="1" applyProtection="1">
      <alignment horizontal="center" vertical="center" wrapText="1"/>
      <protection locked="0"/>
    </xf>
    <xf numFmtId="9" fontId="8" fillId="0" borderId="4" xfId="2" applyFont="1" applyFill="1" applyBorder="1" applyAlignment="1" applyProtection="1">
      <alignment horizontal="center" vertical="center" wrapText="1"/>
      <protection locked="0"/>
    </xf>
    <xf numFmtId="9" fontId="8" fillId="0" borderId="24" xfId="2" applyFont="1" applyFill="1" applyBorder="1" applyAlignment="1" applyProtection="1">
      <alignment horizontal="center" vertical="center"/>
      <protection locked="0"/>
    </xf>
    <xf numFmtId="167" fontId="9" fillId="0" borderId="40" xfId="1" applyNumberFormat="1" applyFont="1" applyBorder="1" applyAlignment="1" applyProtection="1">
      <alignment wrapText="1"/>
      <protection locked="0"/>
    </xf>
    <xf numFmtId="167" fontId="9" fillId="0" borderId="38" xfId="1" applyNumberFormat="1" applyFont="1" applyBorder="1" applyAlignment="1" applyProtection="1">
      <alignment wrapText="1"/>
      <protection locked="0"/>
    </xf>
    <xf numFmtId="167" fontId="16" fillId="0" borderId="42" xfId="1" applyNumberFormat="1" applyFont="1" applyFill="1" applyBorder="1" applyAlignment="1" applyProtection="1">
      <alignment horizontal="center" vertical="center"/>
      <protection locked="0"/>
    </xf>
    <xf numFmtId="9" fontId="16" fillId="2" borderId="31" xfId="2" applyFont="1" applyFill="1" applyBorder="1" applyAlignment="1" applyProtection="1">
      <alignment horizontal="center" vertical="center"/>
      <protection locked="0"/>
    </xf>
    <xf numFmtId="167" fontId="9" fillId="0" borderId="21" xfId="1" applyNumberFormat="1" applyFont="1" applyBorder="1" applyAlignment="1" applyProtection="1">
      <alignment horizontal="center" vertical="center"/>
      <protection locked="0"/>
    </xf>
    <xf numFmtId="167" fontId="9" fillId="0" borderId="22" xfId="1" applyNumberFormat="1" applyFont="1" applyBorder="1" applyProtection="1">
      <protection locked="0"/>
    </xf>
    <xf numFmtId="167" fontId="8" fillId="0" borderId="4" xfId="1" applyNumberFormat="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9" fillId="0" borderId="13" xfId="0" applyFont="1" applyBorder="1" applyAlignment="1" applyProtection="1">
      <alignment vertical="center"/>
      <protection locked="0"/>
    </xf>
    <xf numFmtId="0" fontId="9" fillId="0" borderId="13" xfId="0" applyFont="1" applyBorder="1" applyProtection="1">
      <protection locked="0"/>
    </xf>
    <xf numFmtId="9" fontId="6" fillId="4" borderId="4" xfId="2" applyFont="1" applyFill="1" applyBorder="1" applyAlignment="1" applyProtection="1">
      <alignment horizontal="center" vertical="center" wrapText="1"/>
      <protection locked="0"/>
    </xf>
    <xf numFmtId="9" fontId="6" fillId="4" borderId="24" xfId="2" applyFont="1" applyFill="1" applyBorder="1" applyAlignment="1" applyProtection="1">
      <alignment horizontal="center" vertical="center" wrapText="1"/>
      <protection locked="0"/>
    </xf>
    <xf numFmtId="9" fontId="9" fillId="7" borderId="4" xfId="2" applyFont="1" applyFill="1" applyBorder="1" applyAlignment="1" applyProtection="1">
      <alignment horizontal="center" vertical="center"/>
    </xf>
    <xf numFmtId="9" fontId="9" fillId="7" borderId="24" xfId="2" applyFont="1" applyFill="1" applyBorder="1" applyAlignment="1" applyProtection="1">
      <alignment horizontal="center" vertical="center"/>
    </xf>
    <xf numFmtId="0" fontId="9" fillId="0" borderId="10" xfId="0" applyFont="1" applyBorder="1" applyAlignment="1" applyProtection="1">
      <alignment wrapText="1"/>
      <protection locked="0"/>
    </xf>
    <xf numFmtId="0" fontId="6" fillId="0" borderId="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9" fillId="0" borderId="4" xfId="0" applyFont="1" applyBorder="1" applyAlignment="1" applyProtection="1">
      <alignment vertical="center"/>
      <protection locked="0"/>
    </xf>
    <xf numFmtId="0" fontId="9" fillId="0" borderId="24" xfId="0" applyFont="1" applyBorder="1" applyAlignment="1" applyProtection="1">
      <alignment horizontal="justify" vertical="center"/>
      <protection locked="0"/>
    </xf>
    <xf numFmtId="0" fontId="9" fillId="0" borderId="4" xfId="0" applyFont="1" applyBorder="1" applyProtection="1">
      <protection locked="0"/>
    </xf>
    <xf numFmtId="0" fontId="9" fillId="0" borderId="24" xfId="0" applyFont="1" applyBorder="1" applyAlignment="1" applyProtection="1">
      <alignment horizontal="justify" vertical="top"/>
      <protection locked="0"/>
    </xf>
    <xf numFmtId="0" fontId="9" fillId="0" borderId="8" xfId="0" applyFont="1" applyBorder="1" applyProtection="1">
      <protection locked="0"/>
    </xf>
    <xf numFmtId="0" fontId="15" fillId="0" borderId="40" xfId="0" applyFont="1" applyBorder="1" applyAlignment="1" applyProtection="1">
      <alignment horizontal="justify" vertical="top"/>
      <protection locked="0"/>
    </xf>
    <xf numFmtId="0" fontId="9" fillId="0" borderId="40" xfId="0" applyFont="1" applyBorder="1" applyAlignment="1" applyProtection="1">
      <alignment horizontal="justify" vertical="top"/>
      <protection locked="0"/>
    </xf>
    <xf numFmtId="0" fontId="9" fillId="0" borderId="41" xfId="0" applyFont="1" applyBorder="1" applyProtection="1">
      <protection locked="0"/>
    </xf>
    <xf numFmtId="167" fontId="9" fillId="0" borderId="20" xfId="1" applyNumberFormat="1" applyFont="1" applyBorder="1" applyAlignment="1" applyProtection="1">
      <alignment horizontal="center" vertical="center"/>
      <protection locked="0"/>
    </xf>
    <xf numFmtId="9" fontId="16" fillId="0" borderId="42" xfId="2" applyFont="1" applyFill="1" applyBorder="1" applyAlignment="1" applyProtection="1">
      <alignment horizontal="center" vertical="center"/>
      <protection locked="0"/>
    </xf>
    <xf numFmtId="9" fontId="16" fillId="0" borderId="31" xfId="2" applyFont="1" applyFill="1" applyBorder="1" applyAlignment="1" applyProtection="1">
      <alignment horizontal="center" vertical="center"/>
      <protection locked="0"/>
    </xf>
    <xf numFmtId="0" fontId="9" fillId="0" borderId="20" xfId="0" applyFont="1" applyBorder="1" applyProtection="1">
      <protection locked="0"/>
    </xf>
    <xf numFmtId="0" fontId="9" fillId="0" borderId="21" xfId="0" applyFont="1" applyBorder="1" applyProtection="1">
      <protection locked="0"/>
    </xf>
    <xf numFmtId="0" fontId="9" fillId="0" borderId="22" xfId="0" applyFont="1" applyBorder="1" applyProtection="1">
      <protection locked="0"/>
    </xf>
    <xf numFmtId="167" fontId="8" fillId="0" borderId="24" xfId="1" applyNumberFormat="1" applyFont="1" applyFill="1" applyBorder="1" applyAlignment="1" applyProtection="1">
      <alignment horizontal="center" vertical="center"/>
      <protection locked="0"/>
    </xf>
    <xf numFmtId="0" fontId="8" fillId="0" borderId="14" xfId="0" applyFont="1" applyBorder="1" applyAlignment="1">
      <alignment horizontal="center" vertical="center" wrapText="1"/>
    </xf>
    <xf numFmtId="9" fontId="6" fillId="2" borderId="35" xfId="2" applyFont="1" applyFill="1" applyBorder="1" applyAlignment="1" applyProtection="1">
      <alignment horizontal="center" vertical="center" wrapText="1"/>
      <protection locked="0"/>
    </xf>
    <xf numFmtId="167" fontId="0" fillId="0" borderId="42" xfId="0" applyNumberFormat="1" applyBorder="1"/>
    <xf numFmtId="0" fontId="0" fillId="0" borderId="20" xfId="0" applyBorder="1"/>
    <xf numFmtId="0" fontId="0" fillId="0" borderId="22" xfId="0" applyBorder="1"/>
    <xf numFmtId="0" fontId="0" fillId="0" borderId="21" xfId="0" applyBorder="1"/>
    <xf numFmtId="167" fontId="16" fillId="2" borderId="31" xfId="1" applyNumberFormat="1" applyFont="1" applyFill="1" applyBorder="1" applyAlignment="1" applyProtection="1">
      <alignment horizontal="center" vertical="center"/>
      <protection locked="0"/>
    </xf>
    <xf numFmtId="0" fontId="8" fillId="0" borderId="24" xfId="0" applyFont="1" applyBorder="1" applyAlignment="1">
      <alignment horizontal="center" vertical="center" wrapText="1"/>
    </xf>
    <xf numFmtId="9" fontId="6" fillId="2" borderId="1" xfId="2" applyFont="1" applyFill="1" applyBorder="1" applyAlignment="1" applyProtection="1">
      <alignment horizontal="center" vertical="center" wrapText="1"/>
      <protection locked="0"/>
    </xf>
    <xf numFmtId="9" fontId="8" fillId="0" borderId="24" xfId="0" applyNumberFormat="1" applyFont="1" applyBorder="1" applyAlignment="1">
      <alignment horizontal="center" vertical="center" wrapText="1"/>
    </xf>
    <xf numFmtId="0" fontId="9" fillId="0" borderId="40" xfId="0" applyFont="1" applyBorder="1" applyAlignment="1" applyProtection="1">
      <alignment wrapText="1"/>
      <protection locked="0"/>
    </xf>
    <xf numFmtId="0" fontId="9" fillId="0" borderId="38" xfId="0" applyFont="1" applyBorder="1" applyAlignment="1" applyProtection="1">
      <alignment wrapText="1"/>
      <protection locked="0"/>
    </xf>
    <xf numFmtId="9" fontId="0" fillId="0" borderId="42" xfId="0" applyNumberFormat="1" applyBorder="1"/>
    <xf numFmtId="0" fontId="9" fillId="0" borderId="8" xfId="0" applyFont="1" applyBorder="1" applyAlignment="1" applyProtection="1">
      <alignment wrapText="1"/>
      <protection locked="0"/>
    </xf>
    <xf numFmtId="167" fontId="8" fillId="0" borderId="24" xfId="1" applyNumberFormat="1" applyFont="1" applyFill="1" applyBorder="1" applyAlignment="1" applyProtection="1">
      <alignment horizontal="center" vertical="center" wrapText="1"/>
    </xf>
    <xf numFmtId="0" fontId="0" fillId="0" borderId="42" xfId="0" applyBorder="1"/>
    <xf numFmtId="0" fontId="16" fillId="2" borderId="11" xfId="0" applyFont="1" applyFill="1" applyBorder="1" applyAlignment="1" applyProtection="1">
      <alignment horizontal="center" vertical="center"/>
      <protection locked="0"/>
    </xf>
    <xf numFmtId="0" fontId="9" fillId="0" borderId="24" xfId="0" applyFont="1" applyBorder="1" applyProtection="1">
      <protection locked="0"/>
    </xf>
    <xf numFmtId="0" fontId="6" fillId="2" borderId="36" xfId="3" applyFont="1" applyFill="1" applyBorder="1" applyAlignment="1" applyProtection="1">
      <alignment horizontal="center" vertical="center" wrapText="1"/>
      <protection locked="0"/>
    </xf>
    <xf numFmtId="9" fontId="9" fillId="0" borderId="20" xfId="2" applyFont="1" applyBorder="1" applyAlignment="1" applyProtection="1">
      <alignment horizontal="center" vertical="center"/>
      <protection locked="0"/>
    </xf>
    <xf numFmtId="9" fontId="8" fillId="0" borderId="4" xfId="2" applyFont="1" applyFill="1" applyBorder="1" applyAlignment="1" applyProtection="1">
      <alignment horizontal="center" vertical="center"/>
      <protection locked="0"/>
    </xf>
    <xf numFmtId="9" fontId="9" fillId="0" borderId="21" xfId="2" applyFont="1" applyBorder="1" applyAlignment="1" applyProtection="1">
      <alignment horizontal="center" vertical="center"/>
      <protection locked="0"/>
    </xf>
    <xf numFmtId="0" fontId="8" fillId="0" borderId="14" xfId="0" applyFont="1" applyBorder="1" applyAlignment="1">
      <alignment horizontal="center" vertical="center"/>
    </xf>
    <xf numFmtId="9" fontId="8" fillId="0" borderId="14" xfId="2" applyFont="1" applyFill="1" applyBorder="1" applyAlignment="1">
      <alignment horizontal="center" vertical="center"/>
    </xf>
    <xf numFmtId="0" fontId="8" fillId="0" borderId="0" xfId="0" applyFont="1" applyAlignment="1">
      <alignment horizontal="center" vertical="center" wrapText="1"/>
    </xf>
    <xf numFmtId="9" fontId="8" fillId="0" borderId="14" xfId="2" applyFont="1" applyBorder="1" applyAlignment="1">
      <alignment horizontal="center" vertical="center"/>
    </xf>
    <xf numFmtId="0" fontId="0" fillId="0" borderId="11" xfId="0" applyBorder="1"/>
    <xf numFmtId="0" fontId="9" fillId="0" borderId="21" xfId="0" applyFont="1" applyBorder="1" applyAlignment="1" applyProtection="1">
      <alignment wrapText="1"/>
      <protection locked="0"/>
    </xf>
    <xf numFmtId="9" fontId="9" fillId="0" borderId="20" xfId="2" applyFont="1" applyFill="1" applyBorder="1" applyAlignment="1" applyProtection="1">
      <alignment horizontal="center" vertical="center"/>
      <protection locked="0"/>
    </xf>
    <xf numFmtId="9" fontId="6" fillId="0" borderId="4" xfId="2" applyFont="1" applyFill="1" applyBorder="1" applyAlignment="1" applyProtection="1">
      <alignment horizontal="center" vertical="center" wrapText="1"/>
      <protection locked="0"/>
    </xf>
    <xf numFmtId="9" fontId="6" fillId="0" borderId="24" xfId="2" applyFont="1" applyFill="1" applyBorder="1" applyAlignment="1" applyProtection="1">
      <alignment horizontal="center" vertical="center" wrapText="1"/>
      <protection locked="0"/>
    </xf>
    <xf numFmtId="9" fontId="8" fillId="0" borderId="24" xfId="2" applyFont="1" applyFill="1" applyBorder="1" applyAlignment="1" applyProtection="1">
      <alignment horizontal="center" vertical="center" wrapText="1"/>
    </xf>
    <xf numFmtId="0" fontId="0" fillId="0" borderId="21" xfId="0" applyBorder="1" applyAlignment="1">
      <alignment horizontal="center"/>
    </xf>
    <xf numFmtId="9" fontId="16" fillId="2" borderId="11" xfId="2" applyFont="1" applyFill="1" applyBorder="1" applyAlignment="1" applyProtection="1">
      <alignment horizontal="center" vertical="center"/>
      <protection locked="0"/>
    </xf>
    <xf numFmtId="0" fontId="9" fillId="0" borderId="22" xfId="0" applyFont="1" applyBorder="1" applyAlignment="1" applyProtection="1">
      <alignment wrapText="1"/>
      <protection locked="0"/>
    </xf>
    <xf numFmtId="9" fontId="35" fillId="2" borderId="35" xfId="2" applyFont="1" applyFill="1" applyBorder="1" applyAlignment="1" applyProtection="1">
      <alignment horizontal="center" vertical="center" wrapText="1"/>
      <protection locked="0"/>
    </xf>
    <xf numFmtId="0" fontId="35" fillId="2" borderId="36" xfId="3" applyFont="1" applyFill="1" applyBorder="1" applyAlignment="1" applyProtection="1">
      <alignment horizontal="center" vertical="center" wrapText="1"/>
      <protection locked="0"/>
    </xf>
    <xf numFmtId="0" fontId="8" fillId="0" borderId="24" xfId="5" applyFont="1" applyBorder="1" applyAlignment="1">
      <alignment horizontal="center" vertical="center" wrapText="1"/>
    </xf>
    <xf numFmtId="164" fontId="16" fillId="2" borderId="13" xfId="1" applyFont="1" applyFill="1" applyBorder="1" applyAlignment="1" applyProtection="1">
      <alignment horizontal="center" vertical="center"/>
      <protection locked="0"/>
    </xf>
    <xf numFmtId="164" fontId="16" fillId="0" borderId="42" xfId="1" applyFont="1" applyFill="1" applyBorder="1" applyAlignment="1" applyProtection="1">
      <alignment horizontal="center" vertical="center"/>
      <protection locked="0"/>
    </xf>
    <xf numFmtId="164" fontId="16" fillId="2" borderId="31" xfId="1" applyFont="1" applyFill="1" applyBorder="1" applyAlignment="1" applyProtection="1">
      <alignment horizontal="center" vertical="center"/>
      <protection locked="0"/>
    </xf>
    <xf numFmtId="164" fontId="8" fillId="0" borderId="4" xfId="1" applyFont="1" applyFill="1" applyBorder="1" applyAlignment="1" applyProtection="1">
      <alignment horizontal="center" vertical="center" wrapText="1"/>
    </xf>
    <xf numFmtId="164" fontId="8" fillId="0" borderId="24" xfId="1" applyFont="1" applyFill="1" applyBorder="1" applyAlignment="1" applyProtection="1">
      <alignment horizontal="center" vertical="center"/>
      <protection locked="0"/>
    </xf>
    <xf numFmtId="9" fontId="8" fillId="2" borderId="7" xfId="2" applyFont="1" applyFill="1" applyBorder="1" applyAlignment="1" applyProtection="1">
      <alignment horizontal="center" vertical="center" wrapText="1"/>
      <protection locked="0"/>
    </xf>
    <xf numFmtId="9" fontId="6" fillId="2" borderId="13" xfId="2" applyFont="1" applyFill="1" applyBorder="1" applyAlignment="1" applyProtection="1">
      <alignment horizontal="center" vertical="center" wrapText="1"/>
      <protection locked="0"/>
    </xf>
    <xf numFmtId="9" fontId="8" fillId="0" borderId="13" xfId="2" applyFont="1" applyFill="1" applyBorder="1" applyAlignment="1" applyProtection="1">
      <alignment horizontal="center" vertical="center" wrapText="1"/>
      <protection locked="0"/>
    </xf>
    <xf numFmtId="167" fontId="9" fillId="0" borderId="22" xfId="1" applyNumberFormat="1" applyFont="1" applyBorder="1" applyAlignment="1" applyProtection="1">
      <alignment horizontal="center" vertical="center"/>
      <protection locked="0"/>
    </xf>
    <xf numFmtId="167" fontId="16" fillId="0" borderId="31" xfId="1" applyNumberFormat="1" applyFont="1" applyFill="1" applyBorder="1" applyAlignment="1" applyProtection="1">
      <alignment horizontal="center" vertical="center"/>
      <protection locked="0"/>
    </xf>
    <xf numFmtId="167" fontId="16" fillId="0" borderId="20" xfId="1" applyNumberFormat="1" applyFont="1" applyFill="1" applyBorder="1" applyAlignment="1" applyProtection="1">
      <alignment horizontal="center" vertical="center"/>
      <protection locked="0"/>
    </xf>
    <xf numFmtId="9" fontId="8" fillId="2" borderId="11" xfId="2" applyFont="1" applyFill="1" applyBorder="1" applyAlignment="1" applyProtection="1">
      <alignment horizontal="center" vertical="center" wrapText="1"/>
      <protection locked="0"/>
    </xf>
    <xf numFmtId="9" fontId="9" fillId="0" borderId="14" xfId="2" applyFont="1" applyFill="1" applyBorder="1" applyAlignment="1" applyProtection="1">
      <alignment horizontal="center" vertical="center"/>
    </xf>
    <xf numFmtId="9" fontId="9" fillId="0" borderId="14" xfId="2" applyFont="1" applyFill="1" applyBorder="1" applyAlignment="1" applyProtection="1">
      <alignment horizontal="center" vertical="center" wrapText="1"/>
    </xf>
    <xf numFmtId="9" fontId="15" fillId="0" borderId="7" xfId="2" applyFont="1" applyFill="1" applyBorder="1" applyAlignment="1" applyProtection="1">
      <alignment horizontal="center" vertical="center" wrapText="1"/>
    </xf>
    <xf numFmtId="0" fontId="18" fillId="0" borderId="7" xfId="0" applyFont="1" applyBorder="1" applyAlignment="1">
      <alignment vertical="center" textRotation="90" wrapText="1"/>
    </xf>
    <xf numFmtId="0" fontId="18" fillId="0" borderId="7" xfId="0" applyFont="1" applyBorder="1" applyAlignment="1">
      <alignment textRotation="90" wrapText="1"/>
    </xf>
    <xf numFmtId="0" fontId="18" fillId="0" borderId="7" xfId="0" applyFont="1" applyBorder="1" applyAlignment="1">
      <alignment textRotation="90"/>
    </xf>
    <xf numFmtId="9" fontId="8" fillId="0" borderId="14" xfId="0" applyNumberFormat="1" applyFont="1" applyBorder="1" applyAlignment="1">
      <alignment horizontal="center" vertical="center" wrapText="1"/>
    </xf>
    <xf numFmtId="0" fontId="6" fillId="2" borderId="57" xfId="3" applyFont="1" applyFill="1" applyBorder="1" applyAlignment="1" applyProtection="1">
      <alignment horizontal="center" vertical="center" wrapText="1"/>
      <protection locked="0"/>
    </xf>
    <xf numFmtId="9" fontId="16" fillId="0" borderId="4" xfId="2" applyFont="1" applyFill="1" applyBorder="1" applyAlignment="1" applyProtection="1">
      <alignment horizontal="center" vertical="center"/>
      <protection locked="0"/>
    </xf>
    <xf numFmtId="9" fontId="9" fillId="0" borderId="28" xfId="2" applyFont="1" applyBorder="1" applyAlignment="1" applyProtection="1">
      <alignment horizontal="center" vertical="center"/>
      <protection locked="0"/>
    </xf>
    <xf numFmtId="0" fontId="14" fillId="0" borderId="16" xfId="3" applyFont="1" applyBorder="1" applyAlignment="1">
      <alignment horizontal="center" vertical="center" wrapText="1"/>
    </xf>
    <xf numFmtId="0" fontId="6" fillId="0" borderId="50" xfId="3" applyFont="1" applyBorder="1" applyAlignment="1">
      <alignment vertical="center" wrapText="1"/>
    </xf>
    <xf numFmtId="0" fontId="9" fillId="0" borderId="16" xfId="3" applyFont="1" applyBorder="1" applyAlignment="1">
      <alignment horizontal="center" vertical="center" wrapText="1"/>
    </xf>
    <xf numFmtId="0" fontId="8" fillId="0" borderId="45" xfId="0" applyFont="1" applyBorder="1" applyAlignment="1">
      <alignment horizontal="center" vertical="center" wrapText="1"/>
    </xf>
    <xf numFmtId="9" fontId="8" fillId="0" borderId="42" xfId="2" applyFont="1" applyFill="1" applyBorder="1" applyAlignment="1" applyProtection="1">
      <alignment horizontal="center" vertical="center" wrapText="1"/>
      <protection locked="0"/>
    </xf>
    <xf numFmtId="9" fontId="8" fillId="0" borderId="31" xfId="2" applyFont="1" applyFill="1" applyBorder="1" applyAlignment="1" applyProtection="1">
      <alignment horizontal="center" vertical="center" wrapText="1"/>
      <protection locked="0"/>
    </xf>
    <xf numFmtId="9" fontId="8" fillId="0" borderId="31" xfId="2" applyFont="1" applyFill="1" applyBorder="1" applyAlignment="1" applyProtection="1">
      <alignment horizontal="center" vertical="center"/>
    </xf>
    <xf numFmtId="0" fontId="9" fillId="0" borderId="42" xfId="0" applyFont="1" applyBorder="1" applyProtection="1">
      <protection locked="0"/>
    </xf>
    <xf numFmtId="0" fontId="8" fillId="0" borderId="11" xfId="0" applyFont="1" applyBorder="1" applyAlignment="1" applyProtection="1">
      <alignment horizontal="justify" vertical="top"/>
      <protection locked="0"/>
    </xf>
    <xf numFmtId="0" fontId="9" fillId="0" borderId="11" xfId="0" applyFont="1" applyBorder="1" applyAlignment="1" applyProtection="1">
      <alignment horizontal="justify" vertical="top"/>
      <protection locked="0"/>
    </xf>
    <xf numFmtId="0" fontId="9" fillId="0" borderId="45" xfId="0" applyFont="1" applyBorder="1" applyProtection="1">
      <protection locked="0"/>
    </xf>
    <xf numFmtId="0" fontId="8" fillId="15" borderId="7" xfId="3" applyFont="1" applyFill="1" applyBorder="1" applyAlignment="1" applyProtection="1">
      <alignment horizontal="center" vertical="center" wrapText="1"/>
      <protection locked="0"/>
    </xf>
    <xf numFmtId="0" fontId="14" fillId="0" borderId="11" xfId="3" applyFont="1" applyBorder="1" applyAlignment="1">
      <alignment horizontal="center" vertical="center" wrapText="1"/>
    </xf>
    <xf numFmtId="0" fontId="14" fillId="0" borderId="42" xfId="3" applyFont="1" applyBorder="1" applyAlignment="1">
      <alignment horizontal="center" vertical="center" wrapText="1"/>
    </xf>
    <xf numFmtId="0" fontId="8" fillId="0" borderId="45" xfId="3" applyFont="1" applyBorder="1" applyAlignment="1" applyProtection="1">
      <alignment horizontal="center" vertical="center" wrapText="1"/>
      <protection locked="0"/>
    </xf>
    <xf numFmtId="9" fontId="14" fillId="0" borderId="11" xfId="2" applyFont="1" applyBorder="1" applyAlignment="1">
      <alignment horizontal="center" vertical="center" wrapText="1"/>
    </xf>
    <xf numFmtId="9" fontId="0" fillId="0" borderId="0" xfId="2" applyFont="1"/>
    <xf numFmtId="9" fontId="8" fillId="0" borderId="48" xfId="2" applyFont="1" applyFill="1" applyBorder="1" applyAlignment="1" applyProtection="1">
      <alignment horizontal="center" vertical="center" wrapText="1"/>
      <protection locked="0"/>
    </xf>
    <xf numFmtId="10" fontId="9" fillId="0" borderId="0" xfId="2" applyNumberFormat="1" applyFont="1" applyAlignment="1" applyProtection="1">
      <alignment horizontal="center" vertical="center"/>
      <protection locked="0"/>
    </xf>
    <xf numFmtId="9" fontId="0" fillId="0" borderId="7" xfId="2" applyFont="1" applyBorder="1" applyAlignment="1">
      <alignment horizontal="center" vertical="center" wrapText="1"/>
    </xf>
    <xf numFmtId="0" fontId="0" fillId="0" borderId="7" xfId="0" applyBorder="1" applyAlignment="1">
      <alignment horizontal="center" wrapText="1"/>
    </xf>
    <xf numFmtId="0" fontId="0" fillId="0" borderId="7" xfId="0" applyBorder="1" applyAlignment="1">
      <alignment horizontal="center" vertical="center" wrapText="1"/>
    </xf>
    <xf numFmtId="165" fontId="9" fillId="0" borderId="7" xfId="2" applyNumberFormat="1" applyFont="1" applyBorder="1" applyAlignment="1" applyProtection="1">
      <alignment horizontal="center" vertical="center"/>
      <protection locked="0"/>
    </xf>
    <xf numFmtId="9" fontId="0" fillId="0" borderId="7" xfId="2" applyFont="1" applyBorder="1" applyAlignment="1">
      <alignment horizontal="center"/>
    </xf>
    <xf numFmtId="0" fontId="9" fillId="0" borderId="0" xfId="0" applyFont="1"/>
    <xf numFmtId="0" fontId="9" fillId="0" borderId="0" xfId="0" applyFont="1" applyAlignment="1">
      <alignment horizontal="center" wrapText="1"/>
    </xf>
    <xf numFmtId="0" fontId="9" fillId="0" borderId="13" xfId="0" applyFont="1" applyBorder="1" applyAlignment="1">
      <alignment wrapText="1"/>
    </xf>
    <xf numFmtId="0" fontId="9" fillId="0" borderId="7" xfId="0" applyFont="1" applyBorder="1" applyAlignment="1">
      <alignment wrapText="1"/>
    </xf>
    <xf numFmtId="0" fontId="9" fillId="0" borderId="0" xfId="0" applyFont="1" applyAlignment="1">
      <alignment wrapText="1"/>
    </xf>
    <xf numFmtId="0" fontId="9" fillId="0" borderId="7" xfId="3" applyFont="1" applyBorder="1" applyAlignment="1" applyProtection="1">
      <alignment vertical="center" wrapText="1"/>
      <protection locked="0"/>
    </xf>
    <xf numFmtId="9" fontId="9" fillId="0" borderId="7" xfId="2" applyFont="1" applyFill="1" applyBorder="1" applyAlignment="1" applyProtection="1">
      <alignment vertical="center" wrapText="1"/>
      <protection locked="0"/>
    </xf>
    <xf numFmtId="0" fontId="9" fillId="0" borderId="14" xfId="3" applyFont="1" applyBorder="1" applyAlignment="1" applyProtection="1">
      <alignment vertical="center" wrapText="1"/>
      <protection locked="0"/>
    </xf>
    <xf numFmtId="0" fontId="9" fillId="0" borderId="12" xfId="3" applyFont="1" applyBorder="1" applyAlignment="1" applyProtection="1">
      <alignment vertical="center" wrapText="1"/>
      <protection locked="0"/>
    </xf>
    <xf numFmtId="0" fontId="9" fillId="0" borderId="7" xfId="0" applyFont="1" applyBorder="1" applyAlignment="1">
      <alignment vertical="center"/>
    </xf>
    <xf numFmtId="0" fontId="9" fillId="0" borderId="7" xfId="0" applyFont="1" applyBorder="1" applyAlignment="1">
      <alignment horizontal="center"/>
    </xf>
    <xf numFmtId="0" fontId="9" fillId="0" borderId="0" xfId="0" applyFont="1" applyAlignment="1">
      <alignment horizontal="center"/>
    </xf>
    <xf numFmtId="0" fontId="9" fillId="0" borderId="0" xfId="0" applyFont="1" applyAlignment="1">
      <alignment vertical="center"/>
    </xf>
    <xf numFmtId="9" fontId="4" fillId="0" borderId="7" xfId="2" applyFont="1" applyBorder="1" applyAlignment="1">
      <alignment horizontal="center" vertical="center" wrapText="1"/>
    </xf>
    <xf numFmtId="0" fontId="6" fillId="0" borderId="0" xfId="0" applyFont="1" applyAlignment="1">
      <alignment horizontal="center" vertical="center"/>
    </xf>
    <xf numFmtId="10" fontId="0" fillId="0" borderId="7" xfId="2" applyNumberFormat="1" applyFont="1" applyBorder="1" applyAlignment="1">
      <alignment horizontal="center"/>
    </xf>
    <xf numFmtId="9" fontId="9" fillId="0" borderId="7" xfId="0" applyNumberFormat="1" applyFont="1" applyBorder="1" applyAlignment="1" applyProtection="1">
      <alignment horizontal="center"/>
      <protection locked="0"/>
    </xf>
    <xf numFmtId="0" fontId="9" fillId="0" borderId="7" xfId="0" applyFont="1" applyBorder="1"/>
    <xf numFmtId="0" fontId="9" fillId="0" borderId="42" xfId="3" applyFont="1" applyBorder="1" applyAlignment="1">
      <alignment vertical="center" wrapText="1"/>
    </xf>
    <xf numFmtId="0" fontId="9" fillId="0" borderId="11" xfId="3" applyFont="1" applyBorder="1" applyAlignment="1">
      <alignment horizontal="center" vertical="center" wrapText="1"/>
    </xf>
    <xf numFmtId="0" fontId="6" fillId="0" borderId="42" xfId="3" applyFont="1" applyBorder="1" applyAlignment="1">
      <alignment vertical="center" wrapText="1"/>
    </xf>
    <xf numFmtId="9" fontId="9" fillId="0" borderId="11" xfId="2" applyFont="1" applyBorder="1" applyAlignment="1">
      <alignment horizontal="center" vertical="center"/>
    </xf>
    <xf numFmtId="0" fontId="8" fillId="0" borderId="5" xfId="0" applyFont="1" applyBorder="1" applyAlignment="1">
      <alignment horizontal="center" vertical="center" wrapText="1"/>
    </xf>
    <xf numFmtId="0" fontId="9" fillId="0" borderId="11" xfId="3" applyFont="1" applyBorder="1" applyAlignment="1">
      <alignment vertical="center" wrapText="1"/>
    </xf>
    <xf numFmtId="1" fontId="9" fillId="0" borderId="11" xfId="1" applyNumberFormat="1" applyFont="1" applyBorder="1" applyAlignment="1">
      <alignment horizontal="center" vertical="center"/>
    </xf>
    <xf numFmtId="9" fontId="11" fillId="7" borderId="7" xfId="0" applyNumberFormat="1" applyFont="1" applyFill="1" applyBorder="1" applyAlignment="1" applyProtection="1">
      <alignment vertical="center"/>
      <protection locked="0"/>
    </xf>
    <xf numFmtId="9" fontId="0" fillId="0" borderId="7" xfId="2" applyFont="1" applyBorder="1"/>
    <xf numFmtId="9" fontId="0" fillId="0" borderId="7" xfId="0" applyNumberFormat="1" applyBorder="1"/>
    <xf numFmtId="0" fontId="9" fillId="0" borderId="11" xfId="0" applyFont="1" applyBorder="1" applyAlignment="1">
      <alignment vertical="center" wrapText="1"/>
    </xf>
    <xf numFmtId="0" fontId="8" fillId="0" borderId="11" xfId="0" applyFont="1" applyBorder="1" applyAlignment="1">
      <alignment horizontal="center" vertical="center" wrapText="1"/>
    </xf>
    <xf numFmtId="9" fontId="9" fillId="0" borderId="11" xfId="2" applyFont="1" applyFill="1" applyBorder="1" applyAlignment="1" applyProtection="1">
      <alignment horizontal="center" vertical="center"/>
    </xf>
    <xf numFmtId="9" fontId="16" fillId="2" borderId="24" xfId="2" applyFont="1" applyFill="1" applyBorder="1" applyAlignment="1" applyProtection="1">
      <alignment vertical="center"/>
      <protection locked="0"/>
    </xf>
    <xf numFmtId="9" fontId="0" fillId="0" borderId="7" xfId="0" applyNumberFormat="1" applyBorder="1" applyAlignment="1">
      <alignment horizontal="center"/>
    </xf>
    <xf numFmtId="9" fontId="0" fillId="0" borderId="42" xfId="0" applyNumberFormat="1" applyBorder="1" applyAlignment="1">
      <alignment horizontal="center"/>
    </xf>
    <xf numFmtId="1" fontId="9" fillId="0" borderId="5" xfId="1" applyNumberFormat="1" applyFont="1" applyFill="1" applyBorder="1" applyAlignment="1" applyProtection="1">
      <alignment horizontal="center" vertical="center"/>
    </xf>
    <xf numFmtId="0" fontId="14" fillId="0" borderId="7" xfId="3" applyFont="1" applyBorder="1" applyAlignment="1">
      <alignment horizontal="center" vertical="top" wrapText="1"/>
    </xf>
    <xf numFmtId="0" fontId="9" fillId="0" borderId="11" xfId="0" applyFont="1" applyBorder="1" applyAlignment="1">
      <alignment horizontal="left" vertical="center" wrapText="1"/>
    </xf>
    <xf numFmtId="9" fontId="8" fillId="0" borderId="7" xfId="2" applyFont="1" applyFill="1" applyBorder="1" applyAlignment="1">
      <alignment horizontal="center" vertical="center" wrapText="1"/>
    </xf>
    <xf numFmtId="1" fontId="9" fillId="0" borderId="11" xfId="1" applyNumberFormat="1" applyFont="1" applyFill="1" applyBorder="1" applyAlignment="1" applyProtection="1">
      <alignment horizontal="center" vertical="center"/>
    </xf>
    <xf numFmtId="9" fontId="39" fillId="0" borderId="7" xfId="3" applyNumberFormat="1" applyFont="1" applyBorder="1" applyAlignment="1" applyProtection="1">
      <alignment horizontal="center" vertical="center" wrapText="1"/>
      <protection locked="0"/>
    </xf>
    <xf numFmtId="9" fontId="9" fillId="0" borderId="13" xfId="2" applyFont="1" applyFill="1" applyBorder="1" applyAlignment="1" applyProtection="1">
      <alignment horizontal="center" vertical="center" wrapText="1"/>
      <protection locked="0"/>
    </xf>
    <xf numFmtId="9" fontId="13" fillId="2" borderId="7" xfId="3" applyNumberFormat="1" applyFont="1" applyFill="1" applyBorder="1" applyAlignment="1" applyProtection="1">
      <alignment horizontal="center" vertical="center" wrapText="1"/>
      <protection locked="0"/>
    </xf>
    <xf numFmtId="9" fontId="40" fillId="0" borderId="7" xfId="3" applyNumberFormat="1" applyFont="1" applyBorder="1" applyAlignment="1" applyProtection="1">
      <alignment horizontal="center" vertical="center" wrapText="1"/>
      <protection locked="0"/>
    </xf>
    <xf numFmtId="9" fontId="41" fillId="0" borderId="42" xfId="2" applyFont="1" applyFill="1" applyBorder="1" applyAlignment="1" applyProtection="1">
      <alignment horizontal="center" vertical="center"/>
      <protection locked="0"/>
    </xf>
    <xf numFmtId="9" fontId="41" fillId="0" borderId="31" xfId="2" applyFont="1" applyFill="1" applyBorder="1" applyAlignment="1" applyProtection="1">
      <alignment horizontal="center" vertical="center"/>
      <protection locked="0"/>
    </xf>
    <xf numFmtId="9" fontId="14" fillId="0" borderId="42" xfId="2" applyFont="1" applyFill="1" applyBorder="1" applyAlignment="1" applyProtection="1">
      <alignment horizontal="center" vertical="center"/>
      <protection locked="0"/>
    </xf>
    <xf numFmtId="9" fontId="14" fillId="0" borderId="31" xfId="2" applyFont="1" applyFill="1" applyBorder="1" applyAlignment="1" applyProtection="1">
      <alignment horizontal="center" vertical="center"/>
      <protection locked="0"/>
    </xf>
    <xf numFmtId="9" fontId="41" fillId="0" borderId="13" xfId="2" applyFont="1" applyFill="1" applyBorder="1" applyAlignment="1" applyProtection="1">
      <alignment horizontal="center" vertical="center"/>
      <protection locked="0"/>
    </xf>
    <xf numFmtId="9" fontId="4" fillId="0" borderId="42" xfId="0" applyNumberFormat="1" applyFont="1" applyBorder="1" applyAlignment="1">
      <alignment horizontal="center"/>
    </xf>
    <xf numFmtId="9" fontId="8" fillId="0" borderId="7" xfId="0" applyNumberFormat="1" applyFont="1" applyBorder="1" applyAlignment="1">
      <alignment horizontal="center" vertical="center"/>
    </xf>
    <xf numFmtId="0" fontId="0" fillId="2" borderId="7" xfId="0" applyFill="1" applyBorder="1" applyAlignment="1">
      <alignment wrapText="1"/>
    </xf>
    <xf numFmtId="9" fontId="8" fillId="0" borderId="14" xfId="2" applyFont="1" applyBorder="1" applyAlignment="1">
      <alignment horizontal="center" vertical="center" wrapText="1"/>
    </xf>
    <xf numFmtId="9" fontId="44" fillId="0" borderId="42" xfId="2" applyFont="1" applyFill="1" applyBorder="1" applyAlignment="1" applyProtection="1">
      <alignment horizontal="center" vertical="center"/>
      <protection locked="0"/>
    </xf>
    <xf numFmtId="9" fontId="45" fillId="0" borderId="42" xfId="2" applyFont="1" applyFill="1" applyBorder="1" applyAlignment="1" applyProtection="1">
      <alignment horizontal="center" vertical="center"/>
      <protection locked="0"/>
    </xf>
    <xf numFmtId="9" fontId="45" fillId="0" borderId="31" xfId="2" applyFont="1" applyFill="1" applyBorder="1" applyAlignment="1" applyProtection="1">
      <alignment horizontal="center" vertical="center"/>
      <protection locked="0"/>
    </xf>
    <xf numFmtId="9" fontId="9" fillId="0" borderId="7" xfId="2" applyFont="1" applyBorder="1" applyAlignment="1" applyProtection="1">
      <alignment horizontal="center"/>
      <protection locked="0"/>
    </xf>
    <xf numFmtId="9" fontId="9" fillId="0" borderId="7" xfId="0" applyNumberFormat="1" applyFont="1" applyBorder="1" applyProtection="1">
      <protection locked="0"/>
    </xf>
    <xf numFmtId="9" fontId="46" fillId="0" borderId="7" xfId="0" applyNumberFormat="1" applyFont="1" applyBorder="1" applyAlignment="1">
      <alignment horizontal="center"/>
    </xf>
    <xf numFmtId="9" fontId="9" fillId="11" borderId="7" xfId="2" applyFont="1" applyFill="1" applyBorder="1" applyAlignment="1" applyProtection="1">
      <alignment horizontal="center" vertical="center"/>
    </xf>
    <xf numFmtId="9" fontId="8" fillId="0" borderId="7" xfId="2" applyFont="1" applyFill="1" applyBorder="1" applyAlignment="1" applyProtection="1">
      <alignment horizontal="left" vertical="center" wrapText="1"/>
    </xf>
    <xf numFmtId="9" fontId="44" fillId="0" borderId="31" xfId="2" applyFont="1" applyFill="1" applyBorder="1" applyAlignment="1" applyProtection="1">
      <alignment horizontal="center" vertical="center"/>
      <protection locked="0"/>
    </xf>
    <xf numFmtId="9" fontId="3" fillId="0" borderId="7" xfId="0" applyNumberFormat="1" applyFont="1" applyBorder="1" applyAlignment="1">
      <alignment horizontal="center"/>
    </xf>
    <xf numFmtId="0" fontId="16" fillId="2" borderId="13" xfId="1" applyNumberFormat="1" applyFont="1" applyFill="1" applyBorder="1" applyAlignment="1" applyProtection="1">
      <alignment horizontal="center" vertical="center"/>
      <protection locked="0"/>
    </xf>
    <xf numFmtId="49" fontId="8" fillId="0" borderId="7" xfId="1" applyNumberFormat="1" applyFont="1" applyFill="1" applyBorder="1" applyAlignment="1" applyProtection="1">
      <alignment horizontal="center" vertical="center" wrapText="1"/>
    </xf>
    <xf numFmtId="0" fontId="4" fillId="0" borderId="0" xfId="0" applyFont="1"/>
    <xf numFmtId="9" fontId="35" fillId="2" borderId="57" xfId="2" applyFont="1" applyFill="1" applyBorder="1" applyAlignment="1" applyProtection="1">
      <alignment horizontal="center" vertical="center" wrapText="1"/>
      <protection locked="0"/>
    </xf>
    <xf numFmtId="165" fontId="41" fillId="12" borderId="7" xfId="2" applyNumberFormat="1" applyFont="1" applyFill="1" applyBorder="1" applyAlignment="1">
      <alignment horizontal="center" vertical="center"/>
    </xf>
    <xf numFmtId="9" fontId="41" fillId="12" borderId="7" xfId="2" applyFont="1" applyFill="1" applyBorder="1" applyAlignment="1">
      <alignment horizontal="center" vertical="center"/>
    </xf>
    <xf numFmtId="9" fontId="35" fillId="2" borderId="58" xfId="2" applyFont="1" applyFill="1" applyBorder="1" applyAlignment="1" applyProtection="1">
      <alignment horizontal="center" vertical="center" wrapText="1"/>
      <protection locked="0"/>
    </xf>
    <xf numFmtId="9" fontId="9" fillId="9" borderId="7" xfId="2" applyFont="1" applyFill="1" applyBorder="1" applyAlignment="1" applyProtection="1">
      <alignment horizontal="center" vertical="center"/>
    </xf>
    <xf numFmtId="0" fontId="8" fillId="0" borderId="24" xfId="1" applyNumberFormat="1" applyFont="1" applyFill="1" applyBorder="1" applyAlignment="1" applyProtection="1">
      <alignment horizontal="center" vertical="center" wrapText="1"/>
    </xf>
    <xf numFmtId="0" fontId="8" fillId="0" borderId="4" xfId="1" applyNumberFormat="1" applyFont="1" applyFill="1" applyBorder="1" applyAlignment="1" applyProtection="1">
      <alignment horizontal="center" vertical="center" wrapText="1"/>
      <protection locked="0"/>
    </xf>
    <xf numFmtId="0" fontId="0" fillId="0" borderId="42" xfId="0" applyBorder="1" applyAlignment="1">
      <alignment horizontal="center"/>
    </xf>
    <xf numFmtId="9" fontId="0" fillId="0" borderId="42" xfId="2" applyFont="1" applyBorder="1" applyAlignment="1">
      <alignment horizontal="center"/>
    </xf>
    <xf numFmtId="0" fontId="8" fillId="0" borderId="7" xfId="1" applyNumberFormat="1" applyFont="1" applyFill="1" applyBorder="1" applyAlignment="1" applyProtection="1">
      <alignment horizontal="center" vertical="center" wrapText="1"/>
      <protection locked="0"/>
    </xf>
    <xf numFmtId="167" fontId="9" fillId="0" borderId="38" xfId="1" applyNumberFormat="1" applyFont="1" applyBorder="1" applyAlignment="1" applyProtection="1">
      <alignment horizontal="center" wrapText="1"/>
      <protection locked="0"/>
    </xf>
    <xf numFmtId="10" fontId="14" fillId="0" borderId="7" xfId="0" applyNumberFormat="1" applyFont="1" applyBorder="1" applyAlignment="1" applyProtection="1">
      <alignment horizontal="center"/>
      <protection locked="0"/>
    </xf>
    <xf numFmtId="164" fontId="9" fillId="7" borderId="7" xfId="2" applyNumberFormat="1" applyFont="1" applyFill="1" applyBorder="1" applyAlignment="1" applyProtection="1">
      <alignment horizontal="center" vertical="center"/>
    </xf>
    <xf numFmtId="0" fontId="16" fillId="2" borderId="40" xfId="0" applyFont="1" applyFill="1" applyBorder="1" applyAlignment="1" applyProtection="1">
      <alignment horizontal="center" vertical="center"/>
      <protection locked="0"/>
    </xf>
    <xf numFmtId="9" fontId="9" fillId="0" borderId="7" xfId="3" applyNumberFormat="1"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0" fillId="0" borderId="12" xfId="0" applyBorder="1" applyAlignment="1">
      <alignment horizontal="left"/>
    </xf>
    <xf numFmtId="0" fontId="0" fillId="0" borderId="13" xfId="0" applyBorder="1" applyAlignment="1">
      <alignment horizontal="left"/>
    </xf>
    <xf numFmtId="9" fontId="0" fillId="0" borderId="14" xfId="0" applyNumberFormat="1" applyBorder="1" applyAlignment="1">
      <alignment horizontal="left"/>
    </xf>
    <xf numFmtId="9" fontId="45" fillId="0" borderId="13" xfId="2" applyFont="1" applyFill="1" applyBorder="1" applyAlignment="1" applyProtection="1">
      <alignment horizontal="center" vertical="center"/>
      <protection locked="0"/>
    </xf>
    <xf numFmtId="9" fontId="9" fillId="0" borderId="7" xfId="2" applyFont="1" applyBorder="1" applyProtection="1">
      <protection locked="0"/>
    </xf>
    <xf numFmtId="165" fontId="9" fillId="0" borderId="7" xfId="2" applyNumberFormat="1" applyFont="1" applyBorder="1" applyProtection="1">
      <protection locked="0"/>
    </xf>
    <xf numFmtId="165" fontId="2" fillId="0" borderId="7" xfId="2" applyNumberFormat="1" applyFont="1" applyBorder="1" applyProtection="1">
      <protection locked="0"/>
    </xf>
    <xf numFmtId="9" fontId="9" fillId="0" borderId="7" xfId="2" applyFont="1" applyBorder="1" applyAlignment="1" applyProtection="1">
      <alignment horizontal="center" vertical="center" wrapText="1"/>
      <protection locked="0"/>
    </xf>
    <xf numFmtId="0" fontId="9" fillId="0" borderId="7" xfId="0" applyFont="1" applyBorder="1" applyAlignment="1" applyProtection="1">
      <alignment horizontal="center" wrapText="1"/>
      <protection locked="0"/>
    </xf>
    <xf numFmtId="0" fontId="9" fillId="0" borderId="11" xfId="0" applyFont="1" applyBorder="1" applyAlignment="1" applyProtection="1">
      <alignment wrapText="1"/>
      <protection locked="0"/>
    </xf>
    <xf numFmtId="0" fontId="9" fillId="0" borderId="59" xfId="0" applyFont="1" applyBorder="1" applyAlignment="1" applyProtection="1">
      <alignment wrapText="1"/>
      <protection locked="0"/>
    </xf>
    <xf numFmtId="9" fontId="9" fillId="0" borderId="0" xfId="2" applyFont="1" applyBorder="1" applyAlignment="1" applyProtection="1">
      <alignment horizontal="center" vertical="center"/>
      <protection locked="0"/>
    </xf>
    <xf numFmtId="0" fontId="9" fillId="0" borderId="40" xfId="0" applyFont="1" applyBorder="1" applyProtection="1">
      <protection locked="0"/>
    </xf>
    <xf numFmtId="9" fontId="13" fillId="2" borderId="57" xfId="3" applyNumberFormat="1" applyFont="1" applyFill="1" applyBorder="1" applyAlignment="1" applyProtection="1">
      <alignment horizontal="center" vertical="center" wrapText="1"/>
      <protection locked="0"/>
    </xf>
    <xf numFmtId="9" fontId="16" fillId="2" borderId="38" xfId="2" applyFont="1" applyFill="1" applyBorder="1" applyAlignment="1" applyProtection="1">
      <alignment horizontal="center" vertical="center"/>
      <protection locked="0"/>
    </xf>
    <xf numFmtId="0" fontId="35" fillId="0" borderId="0" xfId="0" applyFont="1" applyAlignment="1" applyProtection="1">
      <alignment wrapText="1"/>
      <protection locked="0"/>
    </xf>
    <xf numFmtId="0" fontId="8" fillId="0" borderId="24" xfId="3" applyFont="1" applyBorder="1" applyAlignment="1" applyProtection="1">
      <alignment horizontal="center" vertical="center" wrapText="1"/>
      <protection locked="0"/>
    </xf>
    <xf numFmtId="165" fontId="8" fillId="0" borderId="7" xfId="2" applyNumberFormat="1" applyFont="1" applyFill="1" applyBorder="1" applyAlignment="1" applyProtection="1">
      <alignment horizontal="center" vertical="center" wrapText="1"/>
    </xf>
    <xf numFmtId="164" fontId="8" fillId="0" borderId="4" xfId="1" applyFont="1" applyFill="1" applyBorder="1" applyAlignment="1" applyProtection="1">
      <alignment horizontal="center" vertical="center" wrapText="1"/>
      <protection locked="0"/>
    </xf>
    <xf numFmtId="167" fontId="14" fillId="0" borderId="42" xfId="1" applyNumberFormat="1" applyFont="1" applyFill="1" applyBorder="1" applyAlignment="1" applyProtection="1">
      <alignment horizontal="center" vertical="center"/>
      <protection locked="0"/>
    </xf>
    <xf numFmtId="10" fontId="8" fillId="0" borderId="4" xfId="2" applyNumberFormat="1" applyFont="1" applyFill="1" applyBorder="1" applyAlignment="1" applyProtection="1">
      <alignment horizontal="center" vertical="center" wrapText="1"/>
      <protection locked="0"/>
    </xf>
    <xf numFmtId="9" fontId="9" fillId="0" borderId="7" xfId="2" applyFont="1" applyBorder="1" applyAlignment="1">
      <alignment horizontal="center" vertical="center" wrapText="1"/>
    </xf>
    <xf numFmtId="0" fontId="0" fillId="0" borderId="0" xfId="0" applyAlignment="1">
      <alignment horizontal="center" vertical="center" wrapText="1"/>
    </xf>
    <xf numFmtId="9" fontId="0" fillId="0" borderId="0" xfId="2" applyFont="1" applyBorder="1" applyAlignment="1">
      <alignment horizontal="center"/>
    </xf>
    <xf numFmtId="9" fontId="3" fillId="0" borderId="0" xfId="0" applyNumberFormat="1" applyFont="1" applyAlignment="1">
      <alignment horizontal="center"/>
    </xf>
    <xf numFmtId="0" fontId="0" fillId="0" borderId="14" xfId="0" applyBorder="1" applyAlignment="1">
      <alignment horizontal="left"/>
    </xf>
    <xf numFmtId="164" fontId="45" fillId="0" borderId="42" xfId="1" applyFont="1" applyFill="1" applyBorder="1" applyAlignment="1" applyProtection="1">
      <alignment horizontal="center" vertical="center"/>
      <protection locked="0"/>
    </xf>
    <xf numFmtId="164" fontId="0" fillId="0" borderId="7" xfId="1" applyFont="1" applyBorder="1"/>
    <xf numFmtId="164" fontId="8" fillId="0" borderId="4" xfId="1" applyFont="1" applyFill="1" applyBorder="1" applyAlignment="1" applyProtection="1">
      <alignment vertical="center" wrapText="1"/>
      <protection locked="0"/>
    </xf>
    <xf numFmtId="9" fontId="8" fillId="0" borderId="7" xfId="2" applyFont="1" applyFill="1" applyBorder="1" applyAlignment="1" applyProtection="1">
      <alignment vertical="center" wrapText="1"/>
    </xf>
    <xf numFmtId="9" fontId="8" fillId="11" borderId="7" xfId="2" applyFont="1" applyFill="1" applyBorder="1" applyAlignment="1" applyProtection="1">
      <alignment horizontal="center" vertical="center"/>
    </xf>
    <xf numFmtId="0" fontId="9" fillId="0" borderId="13" xfId="0" applyFont="1" applyBorder="1" applyAlignment="1" applyProtection="1">
      <alignment vertical="center" wrapText="1"/>
      <protection locked="0"/>
    </xf>
    <xf numFmtId="165" fontId="9" fillId="0" borderId="0" xfId="2" applyNumberFormat="1"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9" fontId="45" fillId="0" borderId="38" xfId="2" applyFont="1" applyFill="1" applyBorder="1" applyAlignment="1" applyProtection="1">
      <alignment horizontal="center" vertical="center"/>
      <protection locked="0"/>
    </xf>
    <xf numFmtId="165" fontId="8" fillId="0" borderId="4" xfId="2" applyNumberFormat="1" applyFont="1" applyFill="1" applyBorder="1" applyAlignment="1" applyProtection="1">
      <alignment horizontal="center" vertical="center" wrapText="1"/>
      <protection locked="0"/>
    </xf>
    <xf numFmtId="9" fontId="0" fillId="0" borderId="42" xfId="0" applyNumberFormat="1" applyBorder="1" applyAlignment="1">
      <alignment vertical="center"/>
    </xf>
    <xf numFmtId="0" fontId="9" fillId="0" borderId="0" xfId="0" applyFont="1" applyAlignment="1" applyProtection="1">
      <alignment horizontal="center" wrapText="1"/>
      <protection locked="0"/>
    </xf>
    <xf numFmtId="9" fontId="31" fillId="12" borderId="7" xfId="0" applyNumberFormat="1" applyFont="1" applyFill="1" applyBorder="1" applyAlignment="1">
      <alignment vertical="center"/>
    </xf>
    <xf numFmtId="0" fontId="0" fillId="13" borderId="0" xfId="0" applyFill="1" applyAlignment="1">
      <alignment vertical="center"/>
    </xf>
    <xf numFmtId="0" fontId="26" fillId="12" borderId="21" xfId="0" applyFont="1" applyFill="1" applyBorder="1" applyAlignment="1">
      <alignment vertical="center"/>
    </xf>
    <xf numFmtId="0" fontId="26" fillId="12" borderId="0" xfId="0" applyFont="1" applyFill="1" applyAlignment="1">
      <alignment vertical="center"/>
    </xf>
    <xf numFmtId="9" fontId="31" fillId="12" borderId="11" xfId="0" applyNumberFormat="1" applyFont="1" applyFill="1" applyBorder="1" applyAlignment="1">
      <alignment vertical="center"/>
    </xf>
    <xf numFmtId="0" fontId="26" fillId="12" borderId="10" xfId="0" applyFont="1" applyFill="1" applyBorder="1" applyAlignment="1">
      <alignment vertical="center"/>
    </xf>
    <xf numFmtId="0" fontId="26" fillId="13" borderId="0" xfId="0" applyFont="1" applyFill="1" applyAlignment="1">
      <alignment vertical="center"/>
    </xf>
    <xf numFmtId="9" fontId="26" fillId="13" borderId="0" xfId="0" applyNumberFormat="1" applyFont="1" applyFill="1" applyAlignment="1">
      <alignment vertical="center"/>
    </xf>
    <xf numFmtId="9" fontId="31" fillId="12" borderId="7" xfId="0" applyNumberFormat="1" applyFont="1" applyFill="1" applyBorder="1" applyAlignment="1">
      <alignment horizontal="center" vertical="center"/>
    </xf>
    <xf numFmtId="10" fontId="8" fillId="0" borderId="7" xfId="2" applyNumberFormat="1" applyFont="1" applyFill="1" applyBorder="1" applyAlignment="1" applyProtection="1">
      <alignment horizontal="center" vertical="center"/>
    </xf>
    <xf numFmtId="9" fontId="8" fillId="11" borderId="11" xfId="2" applyFont="1" applyFill="1" applyBorder="1" applyAlignment="1" applyProtection="1">
      <alignment horizontal="center" vertical="center"/>
    </xf>
    <xf numFmtId="9" fontId="8" fillId="11" borderId="11" xfId="2" applyFont="1" applyFill="1" applyBorder="1" applyAlignment="1" applyProtection="1">
      <alignment horizontal="center" vertical="center"/>
      <protection locked="0"/>
    </xf>
    <xf numFmtId="0" fontId="9" fillId="11" borderId="7" xfId="2" applyNumberFormat="1" applyFont="1" applyFill="1" applyBorder="1" applyAlignment="1" applyProtection="1">
      <alignment horizontal="center" vertical="center"/>
    </xf>
    <xf numFmtId="10" fontId="0" fillId="0" borderId="0" xfId="2" applyNumberFormat="1" applyFont="1" applyBorder="1" applyAlignment="1">
      <alignment horizontal="center" vertical="center"/>
    </xf>
    <xf numFmtId="164" fontId="8" fillId="0" borderId="24" xfId="1" applyFont="1" applyBorder="1" applyAlignment="1">
      <alignment vertical="center" wrapText="1"/>
    </xf>
    <xf numFmtId="9" fontId="8" fillId="11" borderId="7" xfId="2" applyFont="1" applyFill="1" applyBorder="1" applyAlignment="1" applyProtection="1">
      <alignment horizontal="center" vertical="center" wrapText="1"/>
      <protection locked="0"/>
    </xf>
    <xf numFmtId="9" fontId="8" fillId="15" borderId="7" xfId="2" applyFont="1" applyFill="1" applyBorder="1" applyAlignment="1" applyProtection="1">
      <alignment horizontal="center" vertical="center" wrapText="1"/>
      <protection locked="0"/>
    </xf>
    <xf numFmtId="1" fontId="8" fillId="11" borderId="7" xfId="3" applyNumberFormat="1" applyFont="1" applyFill="1" applyBorder="1" applyAlignment="1" applyProtection="1">
      <alignment horizontal="center" vertical="center" wrapText="1"/>
      <protection locked="0"/>
    </xf>
    <xf numFmtId="9" fontId="9" fillId="11" borderId="7" xfId="2" applyFont="1" applyFill="1" applyBorder="1" applyAlignment="1" applyProtection="1">
      <alignment horizontal="center" vertical="center" wrapText="1"/>
    </xf>
    <xf numFmtId="9" fontId="9" fillId="9" borderId="7" xfId="2" applyFont="1" applyFill="1" applyBorder="1" applyAlignment="1" applyProtection="1">
      <alignment horizontal="center" vertical="center" wrapText="1"/>
    </xf>
    <xf numFmtId="9" fontId="8" fillId="9" borderId="11" xfId="2" applyFont="1" applyFill="1" applyBorder="1" applyAlignment="1" applyProtection="1">
      <alignment horizontal="center" vertical="center"/>
      <protection locked="0"/>
    </xf>
    <xf numFmtId="10" fontId="8" fillId="0" borderId="7" xfId="2" applyNumberFormat="1" applyFont="1" applyFill="1" applyBorder="1" applyAlignment="1" applyProtection="1">
      <alignment horizontal="center" vertical="center" wrapText="1"/>
    </xf>
    <xf numFmtId="164" fontId="8" fillId="0" borderId="31" xfId="1" applyFont="1" applyFill="1" applyBorder="1" applyAlignment="1" applyProtection="1">
      <alignment horizontal="center" vertical="center"/>
    </xf>
    <xf numFmtId="165" fontId="3" fillId="0" borderId="7" xfId="0" applyNumberFormat="1" applyFont="1" applyBorder="1" applyAlignment="1">
      <alignment horizontal="center"/>
    </xf>
    <xf numFmtId="0" fontId="9" fillId="0" borderId="13" xfId="0" applyFont="1" applyBorder="1" applyAlignment="1" applyProtection="1">
      <alignment horizontal="center" vertical="center" wrapText="1"/>
      <protection locked="0"/>
    </xf>
    <xf numFmtId="9" fontId="9" fillId="0" borderId="21" xfId="2" applyFont="1" applyFill="1" applyBorder="1" applyAlignment="1" applyProtection="1">
      <alignment horizontal="center" vertical="center"/>
      <protection locked="0"/>
    </xf>
    <xf numFmtId="0" fontId="9" fillId="0" borderId="38" xfId="0" applyFont="1" applyBorder="1" applyAlignment="1" applyProtection="1">
      <alignment horizontal="center" vertical="center" wrapText="1"/>
      <protection locked="0"/>
    </xf>
    <xf numFmtId="0" fontId="8" fillId="0" borderId="7" xfId="5" applyFont="1" applyBorder="1" applyAlignment="1">
      <alignment horizontal="center" vertical="center" wrapText="1"/>
    </xf>
    <xf numFmtId="0" fontId="8" fillId="0" borderId="15" xfId="5" applyFont="1" applyBorder="1" applyAlignment="1">
      <alignment horizontal="center" vertical="center" wrapText="1"/>
    </xf>
    <xf numFmtId="10" fontId="14" fillId="0" borderId="15" xfId="0" applyNumberFormat="1" applyFont="1" applyBorder="1" applyAlignment="1" applyProtection="1">
      <alignment horizontal="center"/>
      <protection locked="0"/>
    </xf>
    <xf numFmtId="9" fontId="8" fillId="12" borderId="7" xfId="3" applyNumberFormat="1" applyFont="1" applyFill="1" applyBorder="1" applyAlignment="1" applyProtection="1">
      <alignment horizontal="center" vertical="center" wrapText="1"/>
      <protection locked="0"/>
    </xf>
    <xf numFmtId="0" fontId="14" fillId="12" borderId="7" xfId="3" applyFont="1" applyFill="1" applyBorder="1" applyAlignment="1">
      <alignment horizontal="center" vertical="center" wrapText="1"/>
    </xf>
    <xf numFmtId="9" fontId="0" fillId="0" borderId="7" xfId="2" applyFont="1" applyFill="1" applyBorder="1" applyAlignment="1">
      <alignment horizontal="center"/>
    </xf>
    <xf numFmtId="9" fontId="0" fillId="0" borderId="7" xfId="2" applyFont="1" applyFill="1" applyBorder="1"/>
    <xf numFmtId="9" fontId="8" fillId="0" borderId="4" xfId="0" applyNumberFormat="1" applyFont="1" applyBorder="1" applyAlignment="1">
      <alignment horizontal="center" vertical="center" wrapText="1"/>
    </xf>
    <xf numFmtId="9" fontId="41" fillId="12" borderId="13" xfId="2" applyFont="1" applyFill="1" applyBorder="1" applyAlignment="1">
      <alignment horizontal="center" vertical="center"/>
    </xf>
    <xf numFmtId="0" fontId="8" fillId="0" borderId="14" xfId="3" applyFont="1" applyBorder="1" applyAlignment="1" applyProtection="1">
      <alignment vertical="center" wrapText="1"/>
      <protection locked="0"/>
    </xf>
    <xf numFmtId="0" fontId="0" fillId="0" borderId="7" xfId="0" applyBorder="1"/>
    <xf numFmtId="0" fontId="18" fillId="0" borderId="11" xfId="0" applyFont="1" applyBorder="1" applyAlignment="1">
      <alignment horizontal="center" vertical="center" textRotation="90" wrapText="1"/>
    </xf>
    <xf numFmtId="0" fontId="18" fillId="0" borderId="16" xfId="0" applyFont="1" applyBorder="1" applyAlignment="1">
      <alignment horizontal="center" vertical="center" textRotation="90" wrapText="1"/>
    </xf>
    <xf numFmtId="0" fontId="21" fillId="0" borderId="14" xfId="0" applyFont="1" applyBorder="1" applyAlignment="1">
      <alignment horizontal="center" vertical="center" wrapText="1"/>
    </xf>
    <xf numFmtId="10" fontId="0" fillId="0" borderId="7" xfId="2" applyNumberFormat="1" applyFont="1" applyBorder="1"/>
    <xf numFmtId="10" fontId="0" fillId="0" borderId="7" xfId="0" applyNumberFormat="1" applyBorder="1"/>
    <xf numFmtId="165" fontId="0" fillId="0" borderId="7" xfId="2" applyNumberFormat="1" applyFont="1" applyBorder="1"/>
    <xf numFmtId="165" fontId="0" fillId="0" borderId="7" xfId="0" applyNumberFormat="1" applyBorder="1"/>
    <xf numFmtId="9" fontId="38" fillId="2" borderId="35" xfId="2" applyFont="1" applyFill="1" applyBorder="1" applyAlignment="1" applyProtection="1">
      <alignment horizontal="center" vertical="center" wrapText="1"/>
      <protection locked="0"/>
    </xf>
    <xf numFmtId="0" fontId="16" fillId="2" borderId="47" xfId="0" applyFont="1" applyFill="1" applyBorder="1" applyAlignment="1" applyProtection="1">
      <alignment vertical="center"/>
      <protection locked="0"/>
    </xf>
    <xf numFmtId="0" fontId="16" fillId="2" borderId="41" xfId="0" applyFont="1" applyFill="1" applyBorder="1" applyAlignment="1" applyProtection="1">
      <alignment vertical="center"/>
      <protection locked="0"/>
    </xf>
    <xf numFmtId="0" fontId="44" fillId="2" borderId="41" xfId="0" applyFont="1" applyFill="1" applyBorder="1" applyAlignment="1" applyProtection="1">
      <alignment vertical="center"/>
      <protection locked="0"/>
    </xf>
    <xf numFmtId="9" fontId="8" fillId="0" borderId="48" xfId="2" applyFont="1" applyFill="1" applyBorder="1" applyAlignment="1" applyProtection="1">
      <alignment horizontal="center" vertical="center"/>
      <protection locked="0"/>
    </xf>
    <xf numFmtId="0" fontId="23" fillId="2" borderId="41" xfId="0" applyFont="1" applyFill="1" applyBorder="1" applyAlignment="1" applyProtection="1">
      <alignment vertical="center"/>
      <protection locked="0"/>
    </xf>
    <xf numFmtId="164" fontId="8" fillId="0" borderId="4" xfId="1" applyFont="1" applyFill="1" applyBorder="1" applyAlignment="1" applyProtection="1">
      <alignment horizontal="center" vertical="center"/>
      <protection locked="0"/>
    </xf>
    <xf numFmtId="9" fontId="17" fillId="0" borderId="11" xfId="2" applyFont="1" applyFill="1" applyBorder="1" applyAlignment="1" applyProtection="1">
      <alignment horizontal="center" vertical="center"/>
      <protection locked="0"/>
    </xf>
    <xf numFmtId="9" fontId="17" fillId="0" borderId="15" xfId="2" applyFont="1" applyFill="1" applyBorder="1" applyAlignment="1" applyProtection="1">
      <alignment horizontal="center" vertical="center"/>
      <protection locked="0"/>
    </xf>
    <xf numFmtId="9" fontId="16" fillId="2" borderId="7" xfId="2" applyFont="1" applyFill="1" applyBorder="1" applyAlignment="1" applyProtection="1">
      <alignment horizontal="center" vertical="center"/>
      <protection locked="0"/>
    </xf>
    <xf numFmtId="9" fontId="16" fillId="2" borderId="45" xfId="2" applyFont="1" applyFill="1" applyBorder="1" applyAlignment="1" applyProtection="1">
      <alignment horizontal="center" vertical="center"/>
      <protection locked="0"/>
    </xf>
    <xf numFmtId="9" fontId="16" fillId="2" borderId="46" xfId="2" applyFont="1" applyFill="1" applyBorder="1" applyAlignment="1" applyProtection="1">
      <alignment horizontal="center" vertical="center"/>
      <protection locked="0"/>
    </xf>
    <xf numFmtId="9" fontId="16" fillId="2" borderId="15" xfId="2" applyFont="1" applyFill="1" applyBorder="1" applyAlignment="1" applyProtection="1">
      <alignment horizontal="center" vertical="center"/>
      <protection locked="0"/>
    </xf>
    <xf numFmtId="0" fontId="9" fillId="0" borderId="15" xfId="0" applyFont="1" applyBorder="1" applyAlignment="1" applyProtection="1">
      <alignment wrapText="1"/>
      <protection locked="0"/>
    </xf>
    <xf numFmtId="164" fontId="8" fillId="0" borderId="7" xfId="1" applyFont="1" applyFill="1" applyBorder="1" applyAlignment="1" applyProtection="1">
      <alignment horizontal="center" vertical="center" wrapText="1"/>
    </xf>
    <xf numFmtId="164" fontId="0" fillId="0" borderId="7" xfId="1" applyFont="1" applyBorder="1" applyAlignment="1">
      <alignment horizontal="center"/>
    </xf>
    <xf numFmtId="9" fontId="39" fillId="0" borderId="7" xfId="2" applyFont="1" applyFill="1" applyBorder="1" applyAlignment="1" applyProtection="1">
      <alignment horizontal="center" vertical="center" wrapText="1"/>
    </xf>
    <xf numFmtId="0" fontId="39" fillId="0" borderId="0" xfId="0" applyFont="1" applyAlignment="1">
      <alignment horizontal="center" vertical="center" wrapText="1"/>
    </xf>
    <xf numFmtId="9" fontId="39" fillId="0" borderId="7" xfId="2" applyFont="1" applyFill="1" applyBorder="1" applyAlignment="1" applyProtection="1">
      <alignment horizontal="left" vertical="center" wrapText="1"/>
      <protection locked="0"/>
    </xf>
    <xf numFmtId="9" fontId="39" fillId="0" borderId="13" xfId="2" applyFont="1" applyFill="1" applyBorder="1" applyAlignment="1" applyProtection="1">
      <alignment horizontal="center" vertical="center" wrapText="1"/>
    </xf>
    <xf numFmtId="0" fontId="39" fillId="0" borderId="7" xfId="0" applyFont="1" applyBorder="1" applyAlignment="1" applyProtection="1">
      <alignment vertical="center" wrapText="1"/>
      <protection locked="0"/>
    </xf>
    <xf numFmtId="0" fontId="39" fillId="12" borderId="13" xfId="0" applyFont="1" applyFill="1" applyBorder="1" applyAlignment="1" applyProtection="1">
      <alignment horizontal="center" vertical="center" wrapText="1"/>
      <protection locked="0"/>
    </xf>
    <xf numFmtId="0" fontId="39" fillId="0" borderId="13" xfId="0" applyFont="1" applyBorder="1" applyAlignment="1" applyProtection="1">
      <alignment vertical="center" wrapText="1"/>
      <protection locked="0"/>
    </xf>
    <xf numFmtId="10" fontId="0" fillId="0" borderId="7" xfId="2" applyNumberFormat="1" applyFont="1" applyBorder="1" applyAlignment="1">
      <alignment horizontal="center" vertical="center"/>
    </xf>
    <xf numFmtId="9" fontId="17" fillId="0" borderId="45" xfId="2" applyFont="1" applyFill="1" applyBorder="1" applyAlignment="1" applyProtection="1">
      <alignment horizontal="center" vertical="center"/>
      <protection locked="0"/>
    </xf>
    <xf numFmtId="9" fontId="17" fillId="0" borderId="46" xfId="2" applyFont="1" applyFill="1" applyBorder="1" applyAlignment="1" applyProtection="1">
      <alignment horizontal="center" vertical="center"/>
      <protection locked="0"/>
    </xf>
    <xf numFmtId="9" fontId="16" fillId="2" borderId="24" xfId="2" applyFont="1" applyFill="1" applyBorder="1" applyAlignment="1" applyProtection="1">
      <alignment horizontal="center" vertical="center"/>
      <protection locked="0"/>
    </xf>
    <xf numFmtId="9" fontId="16" fillId="2" borderId="41" xfId="2" applyFont="1" applyFill="1" applyBorder="1" applyAlignment="1" applyProtection="1">
      <alignment horizontal="center" vertical="center"/>
      <protection locked="0"/>
    </xf>
    <xf numFmtId="9" fontId="9" fillId="0" borderId="15" xfId="2" applyFont="1" applyBorder="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9" fillId="0" borderId="14"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9" fillId="0" borderId="13" xfId="0" applyFont="1" applyBorder="1" applyAlignment="1" applyProtection="1">
      <alignment horizontal="left"/>
      <protection locked="0"/>
    </xf>
    <xf numFmtId="9" fontId="6" fillId="2" borderId="48" xfId="2" applyFont="1" applyFill="1" applyBorder="1" applyAlignment="1" applyProtection="1">
      <alignment horizontal="center" vertical="center" wrapText="1"/>
      <protection locked="0"/>
    </xf>
    <xf numFmtId="9" fontId="9" fillId="0" borderId="7" xfId="0" applyNumberFormat="1" applyFont="1" applyBorder="1" applyAlignment="1" applyProtection="1">
      <alignment vertical="center" wrapText="1"/>
      <protection locked="0"/>
    </xf>
    <xf numFmtId="9" fontId="44" fillId="0" borderId="8" xfId="2" applyFont="1" applyFill="1" applyBorder="1" applyAlignment="1" applyProtection="1">
      <alignment horizontal="center" vertical="center"/>
      <protection locked="0"/>
    </xf>
    <xf numFmtId="9" fontId="44" fillId="0" borderId="38" xfId="2" applyFont="1" applyFill="1" applyBorder="1" applyAlignment="1" applyProtection="1">
      <alignment horizontal="center" vertical="center"/>
      <protection locked="0"/>
    </xf>
    <xf numFmtId="9" fontId="6" fillId="2" borderId="58" xfId="2" applyFont="1" applyFill="1" applyBorder="1" applyAlignment="1" applyProtection="1">
      <alignment horizontal="center" vertical="center" wrapText="1"/>
      <protection locked="0"/>
    </xf>
    <xf numFmtId="9" fontId="9" fillId="0" borderId="0" xfId="2" applyFont="1" applyBorder="1" applyProtection="1">
      <protection locked="0"/>
    </xf>
    <xf numFmtId="165" fontId="9" fillId="0" borderId="0" xfId="0" applyNumberFormat="1" applyFont="1" applyAlignment="1" applyProtection="1">
      <alignment horizontal="center" vertical="center"/>
      <protection locked="0"/>
    </xf>
    <xf numFmtId="9" fontId="9" fillId="0" borderId="11" xfId="2" applyFont="1" applyBorder="1" applyProtection="1">
      <protection locked="0"/>
    </xf>
    <xf numFmtId="165" fontId="2" fillId="0" borderId="15" xfId="2" applyNumberFormat="1" applyFont="1" applyBorder="1" applyProtection="1">
      <protection locked="0"/>
    </xf>
    <xf numFmtId="9" fontId="13" fillId="2" borderId="13" xfId="3" applyNumberFormat="1" applyFont="1" applyFill="1" applyBorder="1" applyAlignment="1" applyProtection="1">
      <alignment horizontal="center" vertical="center" wrapText="1"/>
      <protection locked="0"/>
    </xf>
    <xf numFmtId="9" fontId="45" fillId="0" borderId="40" xfId="2" applyFont="1" applyFill="1" applyBorder="1" applyAlignment="1" applyProtection="1">
      <alignment horizontal="center" vertical="center"/>
      <protection locked="0"/>
    </xf>
    <xf numFmtId="9" fontId="16" fillId="2" borderId="40" xfId="2" applyFont="1" applyFill="1" applyBorder="1" applyAlignment="1" applyProtection="1">
      <alignment horizontal="center" vertical="center"/>
      <protection locked="0"/>
    </xf>
    <xf numFmtId="9" fontId="13" fillId="2" borderId="58" xfId="3" applyNumberFormat="1" applyFont="1" applyFill="1" applyBorder="1" applyAlignment="1" applyProtection="1">
      <alignment horizontal="center" vertical="center" wrapText="1"/>
      <protection locked="0"/>
    </xf>
    <xf numFmtId="165" fontId="2" fillId="0" borderId="0" xfId="2" applyNumberFormat="1" applyFont="1" applyBorder="1" applyAlignment="1" applyProtection="1">
      <alignment horizontal="center"/>
      <protection locked="0"/>
    </xf>
    <xf numFmtId="0" fontId="9" fillId="0" borderId="14" xfId="0" applyFont="1" applyBorder="1" applyAlignment="1" applyProtection="1">
      <alignment horizontal="center" wrapText="1"/>
      <protection locked="0"/>
    </xf>
    <xf numFmtId="9" fontId="9" fillId="0" borderId="14" xfId="2" applyFont="1" applyBorder="1" applyProtection="1">
      <protection locked="0"/>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9" fontId="0" fillId="0" borderId="7" xfId="0" applyNumberFormat="1" applyBorder="1" applyAlignment="1">
      <alignment horizontal="center" vertical="center"/>
    </xf>
    <xf numFmtId="9" fontId="47" fillId="0" borderId="7" xfId="2" applyFont="1" applyBorder="1" applyAlignment="1">
      <alignment horizontal="center" vertical="center" wrapText="1"/>
    </xf>
    <xf numFmtId="10" fontId="0" fillId="0" borderId="0" xfId="2" applyNumberFormat="1" applyFont="1" applyBorder="1" applyAlignment="1">
      <alignment horizontal="center"/>
    </xf>
    <xf numFmtId="0" fontId="9" fillId="0" borderId="31" xfId="0" applyFont="1" applyBorder="1" applyAlignment="1" applyProtection="1">
      <alignment wrapText="1"/>
      <protection locked="0"/>
    </xf>
    <xf numFmtId="0" fontId="0" fillId="0" borderId="6" xfId="0" applyBorder="1" applyAlignment="1">
      <alignment horizontal="center" vertical="center" wrapText="1"/>
    </xf>
    <xf numFmtId="0" fontId="9" fillId="0" borderId="42" xfId="0" applyFont="1" applyBorder="1" applyAlignment="1" applyProtection="1">
      <alignment vertical="center"/>
      <protection locked="0"/>
    </xf>
    <xf numFmtId="0" fontId="9" fillId="0" borderId="11"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protection locked="0"/>
    </xf>
    <xf numFmtId="0" fontId="9" fillId="0" borderId="45" xfId="0" applyFont="1" applyBorder="1" applyAlignment="1" applyProtection="1">
      <alignment horizontal="justify" vertical="center"/>
      <protection locked="0"/>
    </xf>
    <xf numFmtId="9" fontId="8" fillId="0" borderId="7" xfId="2" applyFont="1" applyBorder="1" applyAlignment="1">
      <alignment horizontal="center" vertical="center" wrapText="1"/>
    </xf>
    <xf numFmtId="1" fontId="8" fillId="0" borderId="13" xfId="2" applyNumberFormat="1" applyFont="1" applyBorder="1" applyAlignment="1">
      <alignment horizontal="center" vertical="center" wrapText="1"/>
    </xf>
    <xf numFmtId="1" fontId="8" fillId="0" borderId="24" xfId="2" applyNumberFormat="1" applyFont="1" applyBorder="1" applyAlignment="1">
      <alignment horizontal="center" vertical="center" wrapText="1"/>
    </xf>
    <xf numFmtId="167" fontId="0" fillId="0" borderId="7" xfId="1" applyNumberFormat="1" applyFont="1" applyBorder="1"/>
    <xf numFmtId="164" fontId="44" fillId="0" borderId="42" xfId="1" applyFont="1" applyFill="1" applyBorder="1" applyAlignment="1" applyProtection="1">
      <alignment horizontal="center" vertical="center"/>
      <protection locked="0"/>
    </xf>
    <xf numFmtId="165" fontId="8" fillId="0" borderId="24" xfId="2" applyNumberFormat="1" applyFont="1" applyFill="1" applyBorder="1" applyAlignment="1" applyProtection="1">
      <alignment horizontal="center" vertical="center"/>
      <protection locked="0"/>
    </xf>
    <xf numFmtId="165" fontId="8" fillId="0" borderId="14" xfId="0" applyNumberFormat="1" applyFont="1" applyBorder="1" applyAlignment="1">
      <alignment horizontal="center" vertical="center" wrapText="1"/>
    </xf>
    <xf numFmtId="167" fontId="8" fillId="0" borderId="7" xfId="1" applyNumberFormat="1" applyFont="1" applyFill="1" applyBorder="1" applyAlignment="1">
      <alignment horizontal="center" vertical="center"/>
    </xf>
    <xf numFmtId="165" fontId="8" fillId="0" borderId="42" xfId="2" applyNumberFormat="1" applyFont="1" applyFill="1" applyBorder="1" applyAlignment="1" applyProtection="1">
      <alignment horizontal="center" vertical="center" wrapText="1"/>
      <protection locked="0"/>
    </xf>
    <xf numFmtId="9" fontId="10" fillId="0" borderId="7" xfId="2" applyFont="1" applyFill="1" applyBorder="1" applyAlignment="1" applyProtection="1">
      <alignment horizontal="center" vertical="center" wrapText="1"/>
      <protection locked="0"/>
    </xf>
    <xf numFmtId="165" fontId="8" fillId="0" borderId="7" xfId="2" applyNumberFormat="1" applyFont="1" applyFill="1" applyBorder="1" applyAlignment="1" applyProtection="1">
      <alignment horizontal="center" vertical="center" wrapText="1"/>
      <protection locked="0"/>
    </xf>
    <xf numFmtId="9" fontId="31" fillId="12" borderId="7" xfId="0" applyNumberFormat="1" applyFont="1" applyFill="1" applyBorder="1" applyAlignment="1">
      <alignment horizontal="center"/>
    </xf>
    <xf numFmtId="0" fontId="11" fillId="7" borderId="14"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3" xfId="0" applyFont="1" applyFill="1" applyBorder="1" applyAlignment="1" applyProtection="1">
      <alignment horizontal="center" vertical="center"/>
      <protection locked="0"/>
    </xf>
    <xf numFmtId="0" fontId="8" fillId="0" borderId="11" xfId="3" applyFont="1" applyBorder="1" applyAlignment="1" applyProtection="1">
      <alignment horizontal="left" vertical="center" wrapText="1"/>
      <protection locked="0"/>
    </xf>
    <xf numFmtId="0" fontId="8" fillId="0" borderId="16" xfId="3" applyFont="1" applyBorder="1" applyAlignment="1" applyProtection="1">
      <alignment horizontal="left" vertical="center" wrapText="1"/>
      <protection locked="0"/>
    </xf>
    <xf numFmtId="0" fontId="8" fillId="0" borderId="15" xfId="3" applyFont="1" applyBorder="1" applyAlignment="1" applyProtection="1">
      <alignment horizontal="left" vertical="center" wrapText="1"/>
      <protection locked="0"/>
    </xf>
    <xf numFmtId="0" fontId="8" fillId="0" borderId="11" xfId="4" applyFont="1" applyBorder="1" applyAlignment="1" applyProtection="1">
      <alignment horizontal="left" vertical="center" wrapText="1"/>
      <protection locked="0"/>
    </xf>
    <xf numFmtId="0" fontId="8" fillId="0" borderId="16" xfId="4" applyFont="1" applyBorder="1" applyAlignment="1" applyProtection="1">
      <alignment horizontal="left" vertical="center" wrapText="1"/>
      <protection locked="0"/>
    </xf>
    <xf numFmtId="0" fontId="8" fillId="0" borderId="15" xfId="4" applyFont="1" applyBorder="1" applyAlignment="1" applyProtection="1">
      <alignment horizontal="left" vertical="center" wrapText="1"/>
      <protection locked="0"/>
    </xf>
    <xf numFmtId="0" fontId="8" fillId="0" borderId="11" xfId="3" applyFont="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9" fontId="8" fillId="0" borderId="11" xfId="3" applyNumberFormat="1" applyFont="1" applyBorder="1" applyAlignment="1" applyProtection="1">
      <alignment horizontal="center" vertical="center" wrapText="1"/>
      <protection locked="0"/>
    </xf>
    <xf numFmtId="9" fontId="8" fillId="0" borderId="16" xfId="3" applyNumberFormat="1" applyFont="1" applyBorder="1" applyAlignment="1" applyProtection="1">
      <alignment horizontal="center" vertical="center" wrapText="1"/>
      <protection locked="0"/>
    </xf>
    <xf numFmtId="9" fontId="8" fillId="0" borderId="15" xfId="3" applyNumberFormat="1" applyFont="1" applyBorder="1" applyAlignment="1" applyProtection="1">
      <alignment horizontal="center" vertical="center" wrapText="1"/>
      <protection locked="0"/>
    </xf>
    <xf numFmtId="0" fontId="6" fillId="2" borderId="11" xfId="3" applyFont="1" applyFill="1" applyBorder="1" applyAlignment="1" applyProtection="1">
      <alignment horizontal="center" vertical="center" wrapText="1"/>
      <protection locked="0"/>
    </xf>
    <xf numFmtId="0" fontId="6" fillId="2" borderId="15" xfId="3" applyFont="1" applyFill="1" applyBorder="1" applyAlignment="1" applyProtection="1">
      <alignment horizontal="center" vertical="center" wrapText="1"/>
      <protection locked="0"/>
    </xf>
    <xf numFmtId="9" fontId="6" fillId="6" borderId="12" xfId="2" applyFont="1" applyFill="1" applyBorder="1" applyAlignment="1" applyProtection="1">
      <alignment horizontal="center" vertical="center" wrapText="1"/>
      <protection locked="0"/>
    </xf>
    <xf numFmtId="9" fontId="6" fillId="6" borderId="13" xfId="2"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0" xfId="0" applyAlignment="1">
      <alignment horizontal="center"/>
    </xf>
    <xf numFmtId="0" fontId="7" fillId="6" borderId="14"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9" fillId="0" borderId="7" xfId="0" applyFont="1" applyBorder="1" applyAlignment="1">
      <alignment horizontal="left" vertical="center"/>
    </xf>
    <xf numFmtId="0" fontId="9" fillId="0" borderId="0" xfId="0" applyFont="1" applyAlignment="1">
      <alignment horizontal="center"/>
    </xf>
    <xf numFmtId="0" fontId="9" fillId="0" borderId="7" xfId="0" applyFont="1" applyBorder="1" applyAlignment="1">
      <alignment horizontal="center" wrapText="1"/>
    </xf>
    <xf numFmtId="9" fontId="6" fillId="6" borderId="7" xfId="2" applyFont="1" applyFill="1" applyBorder="1" applyAlignment="1" applyProtection="1">
      <alignment horizontal="center" vertical="center" wrapText="1"/>
      <protection locked="0"/>
    </xf>
    <xf numFmtId="0" fontId="27" fillId="14" borderId="17" xfId="0" applyFont="1" applyFill="1" applyBorder="1" applyAlignment="1">
      <alignment horizontal="center" vertical="center"/>
    </xf>
    <xf numFmtId="0" fontId="27" fillId="14" borderId="18" xfId="0" applyFont="1" applyFill="1" applyBorder="1" applyAlignment="1">
      <alignment horizontal="center" vertical="center"/>
    </xf>
    <xf numFmtId="0" fontId="27" fillId="14" borderId="19" xfId="0" applyFont="1" applyFill="1" applyBorder="1" applyAlignment="1">
      <alignment horizontal="center" vertical="center"/>
    </xf>
    <xf numFmtId="0" fontId="34" fillId="14" borderId="17" xfId="0" applyFont="1" applyFill="1" applyBorder="1" applyAlignment="1">
      <alignment horizontal="center" vertical="center"/>
    </xf>
    <xf numFmtId="0" fontId="34" fillId="14" borderId="18" xfId="0" applyFont="1" applyFill="1" applyBorder="1" applyAlignment="1">
      <alignment horizontal="center" vertical="center"/>
    </xf>
    <xf numFmtId="0" fontId="34" fillId="14" borderId="19" xfId="0" applyFont="1" applyFill="1" applyBorder="1" applyAlignment="1">
      <alignment horizontal="center" vertical="center"/>
    </xf>
    <xf numFmtId="0" fontId="26" fillId="13" borderId="7" xfId="0" applyFont="1" applyFill="1" applyBorder="1" applyAlignment="1">
      <alignment horizontal="center"/>
    </xf>
    <xf numFmtId="0" fontId="29" fillId="0" borderId="4" xfId="6" applyBorder="1" applyAlignment="1" applyProtection="1">
      <alignment horizontal="left" vertical="center" wrapText="1"/>
    </xf>
    <xf numFmtId="0" fontId="29" fillId="0" borderId="7" xfId="6" applyBorder="1" applyAlignment="1" applyProtection="1">
      <alignment horizontal="left" vertical="center" wrapText="1"/>
    </xf>
    <xf numFmtId="0" fontId="29" fillId="0" borderId="4" xfId="6" applyBorder="1" applyAlignment="1" applyProtection="1">
      <alignment horizontal="left" wrapText="1"/>
    </xf>
    <xf numFmtId="0" fontId="29" fillId="0" borderId="7" xfId="6" applyBorder="1" applyAlignment="1" applyProtection="1">
      <alignment horizontal="left" wrapText="1"/>
    </xf>
    <xf numFmtId="0" fontId="29" fillId="0" borderId="4" xfId="6" applyBorder="1" applyAlignment="1" applyProtection="1">
      <alignment horizontal="left" vertical="top" wrapText="1"/>
    </xf>
    <xf numFmtId="0" fontId="29" fillId="0" borderId="7" xfId="6" applyBorder="1" applyAlignment="1" applyProtection="1">
      <alignment horizontal="left" vertical="top" wrapText="1"/>
    </xf>
    <xf numFmtId="0" fontId="29" fillId="0" borderId="4" xfId="6" applyBorder="1" applyAlignment="1" applyProtection="1">
      <alignment horizontal="left" vertical="center"/>
    </xf>
    <xf numFmtId="0" fontId="29" fillId="0" borderId="7" xfId="6" applyBorder="1" applyAlignment="1" applyProtection="1">
      <alignment horizontal="left" vertical="center"/>
    </xf>
    <xf numFmtId="0" fontId="29" fillId="0" borderId="4" xfId="6" applyBorder="1" applyAlignment="1" applyProtection="1">
      <alignment vertical="center" wrapText="1"/>
    </xf>
    <xf numFmtId="0" fontId="29" fillId="0" borderId="7" xfId="6" applyBorder="1" applyAlignment="1" applyProtection="1">
      <alignment vertical="center" wrapText="1"/>
    </xf>
    <xf numFmtId="9" fontId="31" fillId="12" borderId="11" xfId="0" applyNumberFormat="1" applyFont="1" applyFill="1" applyBorder="1" applyAlignment="1">
      <alignment horizontal="center" vertical="center"/>
    </xf>
    <xf numFmtId="9" fontId="31" fillId="12" borderId="15" xfId="0" applyNumberFormat="1" applyFont="1" applyFill="1" applyBorder="1" applyAlignment="1">
      <alignment horizontal="center" vertical="center"/>
    </xf>
    <xf numFmtId="0" fontId="29" fillId="0" borderId="0" xfId="6" applyAlignment="1" applyProtection="1">
      <alignment vertical="center" wrapText="1"/>
    </xf>
    <xf numFmtId="0" fontId="19" fillId="2" borderId="7" xfId="0" applyFont="1" applyFill="1" applyBorder="1" applyAlignment="1">
      <alignment horizontal="center" vertical="center"/>
    </xf>
    <xf numFmtId="0" fontId="19"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10" fontId="0" fillId="0" borderId="11" xfId="2" applyNumberFormat="1" applyFont="1" applyBorder="1" applyAlignment="1">
      <alignment horizontal="center" vertical="center"/>
    </xf>
    <xf numFmtId="10" fontId="0" fillId="0" borderId="16" xfId="2" applyNumberFormat="1" applyFont="1" applyBorder="1" applyAlignment="1">
      <alignment horizontal="center" vertical="center"/>
    </xf>
    <xf numFmtId="10" fontId="0" fillId="0" borderId="15" xfId="2" applyNumberFormat="1" applyFont="1" applyBorder="1" applyAlignment="1">
      <alignment horizontal="center" vertical="center"/>
    </xf>
    <xf numFmtId="9" fontId="6" fillId="2" borderId="37" xfId="2" applyFont="1" applyFill="1" applyBorder="1" applyAlignment="1" applyProtection="1">
      <alignment horizontal="center" vertical="center" wrapText="1"/>
      <protection locked="0"/>
    </xf>
    <xf numFmtId="9" fontId="6" fillId="2" borderId="33" xfId="2" applyFont="1" applyFill="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14" fillId="0" borderId="0" xfId="0" applyFont="1" applyAlignment="1">
      <alignment horizontal="center"/>
    </xf>
    <xf numFmtId="9" fontId="28" fillId="13" borderId="36" xfId="0" applyNumberFormat="1" applyFont="1" applyFill="1" applyBorder="1" applyAlignment="1">
      <alignment horizontal="center" vertical="center" wrapText="1"/>
    </xf>
    <xf numFmtId="9" fontId="28" fillId="13" borderId="15" xfId="0" applyNumberFormat="1" applyFont="1" applyFill="1" applyBorder="1" applyAlignment="1">
      <alignment horizontal="center" vertical="center" wrapText="1"/>
    </xf>
    <xf numFmtId="0" fontId="6" fillId="2" borderId="36" xfId="3" applyFont="1" applyFill="1" applyBorder="1" applyAlignment="1" applyProtection="1">
      <alignment horizontal="center" vertical="center" wrapText="1"/>
      <protection locked="0"/>
    </xf>
    <xf numFmtId="9" fontId="9" fillId="0" borderId="54" xfId="2" applyFont="1" applyBorder="1" applyAlignment="1" applyProtection="1">
      <alignment horizontal="center" vertical="center"/>
      <protection locked="0"/>
    </xf>
    <xf numFmtId="0" fontId="2" fillId="0" borderId="7" xfId="0" applyFont="1" applyBorder="1" applyAlignment="1" applyProtection="1">
      <alignment horizontal="center"/>
      <protection locked="0"/>
    </xf>
    <xf numFmtId="0" fontId="25" fillId="0" borderId="7" xfId="0" applyFont="1" applyBorder="1" applyAlignment="1" applyProtection="1">
      <alignment horizontal="center" vertical="center"/>
      <protection locked="0"/>
    </xf>
    <xf numFmtId="0" fontId="6" fillId="2" borderId="37" xfId="3" applyFont="1" applyFill="1" applyBorder="1" applyAlignment="1" applyProtection="1">
      <alignment horizontal="center" vertical="center" wrapText="1"/>
      <protection locked="0"/>
    </xf>
    <xf numFmtId="0" fontId="6" fillId="2" borderId="33" xfId="3" applyFont="1" applyFill="1" applyBorder="1" applyAlignment="1" applyProtection="1">
      <alignment horizontal="center" vertical="center" wrapText="1"/>
      <protection locked="0"/>
    </xf>
    <xf numFmtId="9" fontId="6" fillId="2" borderId="36" xfId="2" applyFont="1" applyFill="1" applyBorder="1" applyAlignment="1" applyProtection="1">
      <alignment horizontal="center" vertical="center" wrapText="1"/>
      <protection locked="0"/>
    </xf>
    <xf numFmtId="9" fontId="6" fillId="2" borderId="15" xfId="2" applyFont="1" applyFill="1" applyBorder="1" applyAlignment="1" applyProtection="1">
      <alignment horizontal="center" vertical="center" wrapText="1"/>
      <protection locked="0"/>
    </xf>
    <xf numFmtId="0" fontId="6" fillId="2" borderId="35" xfId="3" applyFont="1" applyFill="1" applyBorder="1" applyAlignment="1" applyProtection="1">
      <alignment horizontal="center" vertical="center" wrapText="1"/>
      <protection locked="0"/>
    </xf>
    <xf numFmtId="0" fontId="6" fillId="2" borderId="49" xfId="3" applyFont="1" applyFill="1" applyBorder="1" applyAlignment="1" applyProtection="1">
      <alignment horizontal="center" vertical="center" wrapText="1"/>
      <protection locked="0"/>
    </xf>
    <xf numFmtId="0" fontId="14" fillId="0" borderId="11"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15" xfId="3" applyFont="1" applyBorder="1" applyAlignment="1">
      <alignment horizontal="center" vertical="center" wrapText="1"/>
    </xf>
    <xf numFmtId="10" fontId="0" fillId="0" borderId="7" xfId="2" applyNumberFormat="1"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9" fontId="23" fillId="2" borderId="45" xfId="2" applyFont="1" applyFill="1" applyBorder="1" applyAlignment="1" applyProtection="1">
      <alignment horizontal="center" vertical="center"/>
      <protection locked="0"/>
    </xf>
    <xf numFmtId="9" fontId="23" fillId="2" borderId="52" xfId="2" applyFont="1" applyFill="1" applyBorder="1" applyAlignment="1" applyProtection="1">
      <alignment horizontal="center" vertical="center"/>
      <protection locked="0"/>
    </xf>
    <xf numFmtId="9" fontId="23" fillId="2" borderId="46" xfId="2" applyFont="1" applyFill="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8" fillId="0" borderId="45" xfId="3" applyFont="1" applyBorder="1" applyAlignment="1" applyProtection="1">
      <alignment horizontal="center" vertical="center" wrapText="1"/>
      <protection locked="0"/>
    </xf>
    <xf numFmtId="0" fontId="8" fillId="0" borderId="52" xfId="3" applyFont="1" applyBorder="1" applyAlignment="1" applyProtection="1">
      <alignment horizontal="center" vertical="center" wrapText="1"/>
      <protection locked="0"/>
    </xf>
    <xf numFmtId="0" fontId="8" fillId="0" borderId="33" xfId="3" applyFont="1" applyBorder="1" applyAlignment="1" applyProtection="1">
      <alignment horizontal="center" vertical="center" wrapText="1"/>
      <protection locked="0"/>
    </xf>
    <xf numFmtId="0" fontId="16" fillId="2" borderId="53" xfId="0" applyFont="1" applyFill="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9" fontId="8" fillId="0" borderId="14" xfId="3" applyNumberFormat="1" applyFont="1" applyBorder="1" applyAlignment="1" applyProtection="1">
      <alignment horizontal="center" vertical="center" wrapText="1"/>
      <protection locked="0"/>
    </xf>
    <xf numFmtId="9" fontId="8" fillId="0" borderId="12" xfId="3" applyNumberFormat="1" applyFont="1" applyBorder="1" applyAlignment="1" applyProtection="1">
      <alignment horizontal="center" vertical="center" wrapText="1"/>
      <protection locked="0"/>
    </xf>
    <xf numFmtId="9" fontId="8" fillId="0" borderId="13" xfId="3" applyNumberFormat="1" applyFont="1" applyBorder="1" applyAlignment="1" applyProtection="1">
      <alignment horizontal="center" vertical="center" wrapText="1"/>
      <protection locked="0"/>
    </xf>
    <xf numFmtId="9" fontId="0" fillId="0" borderId="14" xfId="0" applyNumberFormat="1" applyBorder="1" applyAlignment="1">
      <alignment horizontal="left"/>
    </xf>
    <xf numFmtId="9" fontId="0" fillId="0" borderId="12" xfId="0" applyNumberFormat="1" applyBorder="1" applyAlignment="1">
      <alignment horizontal="left"/>
    </xf>
    <xf numFmtId="9" fontId="0" fillId="0" borderId="13" xfId="0" applyNumberFormat="1" applyBorder="1" applyAlignment="1">
      <alignment horizontal="left"/>
    </xf>
    <xf numFmtId="9" fontId="14" fillId="0" borderId="11" xfId="2" applyFont="1" applyBorder="1" applyAlignment="1">
      <alignment horizontal="center" vertical="center" wrapText="1"/>
    </xf>
    <xf numFmtId="9" fontId="14" fillId="0" borderId="16" xfId="2" applyFont="1" applyBorder="1" applyAlignment="1">
      <alignment horizontal="center" vertical="center" wrapText="1"/>
    </xf>
    <xf numFmtId="9" fontId="14" fillId="0" borderId="15" xfId="2" applyFont="1" applyBorder="1" applyAlignment="1">
      <alignment horizontal="center" vertical="center" wrapText="1"/>
    </xf>
    <xf numFmtId="0" fontId="14" fillId="0" borderId="42"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49" xfId="3" applyFont="1" applyBorder="1" applyAlignment="1">
      <alignment horizontal="center" vertical="center" wrapText="1"/>
    </xf>
    <xf numFmtId="9" fontId="9" fillId="0" borderId="11" xfId="2" applyFont="1" applyBorder="1" applyAlignment="1" applyProtection="1">
      <alignment horizontal="center" vertical="center"/>
      <protection locked="0"/>
    </xf>
    <xf numFmtId="9" fontId="9" fillId="0" borderId="16" xfId="2" applyFont="1" applyBorder="1" applyAlignment="1" applyProtection="1">
      <alignment horizontal="center" vertical="center"/>
      <protection locked="0"/>
    </xf>
    <xf numFmtId="9" fontId="9" fillId="0" borderId="15" xfId="2" applyFont="1" applyBorder="1" applyAlignment="1" applyProtection="1">
      <alignment horizontal="center" vertical="center"/>
      <protection locked="0"/>
    </xf>
    <xf numFmtId="9" fontId="16" fillId="2" borderId="24" xfId="2" applyFont="1" applyFill="1" applyBorder="1" applyAlignment="1" applyProtection="1">
      <alignment horizontal="center" vertical="center"/>
      <protection locked="0"/>
    </xf>
    <xf numFmtId="9" fontId="16" fillId="2" borderId="41" xfId="2"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lignment horizontal="left"/>
    </xf>
    <xf numFmtId="9" fontId="0" fillId="0" borderId="7" xfId="2" applyFont="1" applyBorder="1" applyAlignment="1">
      <alignment horizontal="center" vertical="center"/>
    </xf>
    <xf numFmtId="9" fontId="17" fillId="0" borderId="45" xfId="2" applyFont="1" applyFill="1" applyBorder="1" applyAlignment="1" applyProtection="1">
      <alignment horizontal="center" vertical="center"/>
      <protection locked="0"/>
    </xf>
    <xf numFmtId="9" fontId="17" fillId="0" borderId="46" xfId="2" applyFont="1" applyFill="1" applyBorder="1" applyAlignment="1" applyProtection="1">
      <alignment horizontal="center" vertical="center"/>
      <protection locked="0"/>
    </xf>
    <xf numFmtId="0" fontId="7" fillId="7" borderId="43"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7" fillId="7" borderId="44"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6" fillId="2" borderId="47" xfId="0" applyFont="1" applyFill="1" applyBorder="1" applyAlignment="1" applyProtection="1">
      <alignment horizontal="center" vertical="center"/>
      <protection locked="0"/>
    </xf>
    <xf numFmtId="0" fontId="16" fillId="2" borderId="41" xfId="0" applyFont="1" applyFill="1" applyBorder="1" applyAlignment="1" applyProtection="1">
      <alignment horizontal="center" vertical="center"/>
      <protection locked="0"/>
    </xf>
    <xf numFmtId="164" fontId="16" fillId="2" borderId="24" xfId="1" applyFont="1" applyFill="1" applyBorder="1" applyAlignment="1" applyProtection="1">
      <alignment horizontal="center" vertical="center"/>
      <protection locked="0"/>
    </xf>
    <xf numFmtId="164" fontId="16" fillId="2" borderId="41" xfId="1" applyFont="1" applyFill="1" applyBorder="1" applyAlignment="1" applyProtection="1">
      <alignment horizontal="center" vertical="center"/>
      <protection locked="0"/>
    </xf>
    <xf numFmtId="165" fontId="16" fillId="2" borderId="24" xfId="2" applyNumberFormat="1" applyFont="1" applyFill="1" applyBorder="1" applyAlignment="1" applyProtection="1">
      <alignment horizontal="center" vertical="center"/>
      <protection locked="0"/>
    </xf>
    <xf numFmtId="165" fontId="16" fillId="2" borderId="41" xfId="2" applyNumberFormat="1" applyFont="1" applyFill="1" applyBorder="1" applyAlignment="1" applyProtection="1">
      <alignment horizontal="center" vertical="center"/>
      <protection locked="0"/>
    </xf>
    <xf numFmtId="9" fontId="17" fillId="0" borderId="11" xfId="2" applyFont="1" applyFill="1" applyBorder="1" applyAlignment="1" applyProtection="1">
      <alignment horizontal="center" vertical="center"/>
      <protection locked="0"/>
    </xf>
    <xf numFmtId="9" fontId="17" fillId="0" borderId="15" xfId="2" applyFont="1" applyFill="1" applyBorder="1" applyAlignment="1" applyProtection="1">
      <alignment horizontal="center" vertical="center"/>
      <protection locked="0"/>
    </xf>
    <xf numFmtId="9" fontId="16" fillId="2" borderId="39" xfId="2" applyFont="1" applyFill="1" applyBorder="1" applyAlignment="1" applyProtection="1">
      <alignment horizontal="center" vertical="center"/>
      <protection locked="0"/>
    </xf>
    <xf numFmtId="0" fontId="7" fillId="7" borderId="14" xfId="0" applyFont="1" applyFill="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55" xfId="3" applyFont="1" applyFill="1" applyBorder="1" applyAlignment="1" applyProtection="1">
      <alignment horizontal="center" vertical="center" wrapText="1"/>
      <protection locked="0"/>
    </xf>
    <xf numFmtId="0" fontId="6" fillId="2" borderId="34" xfId="3" applyFont="1" applyFill="1" applyBorder="1" applyAlignment="1" applyProtection="1">
      <alignment horizontal="center" vertical="center" wrapText="1"/>
      <protection locked="0"/>
    </xf>
    <xf numFmtId="9" fontId="16" fillId="2" borderId="7" xfId="2" applyFont="1" applyFill="1" applyBorder="1" applyAlignment="1" applyProtection="1">
      <alignment horizontal="center" vertical="center"/>
      <protection locked="0"/>
    </xf>
    <xf numFmtId="10" fontId="9"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4"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0" xfId="0" applyFont="1" applyAlignment="1" applyProtection="1">
      <alignment horizontal="left"/>
      <protection locked="0"/>
    </xf>
    <xf numFmtId="0" fontId="6" fillId="13" borderId="36" xfId="3" applyFont="1" applyFill="1" applyBorder="1" applyAlignment="1" applyProtection="1">
      <alignment horizontal="center" vertical="center" wrapText="1"/>
      <protection locked="0"/>
    </xf>
    <xf numFmtId="0" fontId="6" fillId="13" borderId="15" xfId="3"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9" fontId="23" fillId="0" borderId="45" xfId="2" applyFont="1" applyFill="1" applyBorder="1" applyAlignment="1" applyProtection="1">
      <alignment horizontal="center" vertical="center"/>
      <protection locked="0"/>
    </xf>
    <xf numFmtId="9" fontId="23" fillId="0" borderId="46" xfId="2" applyFont="1" applyFill="1" applyBorder="1" applyAlignment="1" applyProtection="1">
      <alignment horizontal="center" vertical="center"/>
      <protection locked="0"/>
    </xf>
    <xf numFmtId="9" fontId="16" fillId="2" borderId="45" xfId="2" applyFont="1" applyFill="1" applyBorder="1" applyAlignment="1" applyProtection="1">
      <alignment horizontal="center" vertical="center"/>
      <protection locked="0"/>
    </xf>
    <xf numFmtId="9" fontId="16" fillId="2" borderId="46" xfId="2" applyFont="1" applyFill="1" applyBorder="1" applyAlignment="1" applyProtection="1">
      <alignment horizontal="center" vertical="center"/>
      <protection locked="0"/>
    </xf>
    <xf numFmtId="9" fontId="8" fillId="0" borderId="48" xfId="2" applyFont="1" applyFill="1" applyBorder="1" applyAlignment="1" applyProtection="1">
      <alignment horizontal="center" vertical="center" wrapText="1"/>
      <protection locked="0"/>
    </xf>
    <xf numFmtId="9" fontId="8" fillId="0" borderId="12" xfId="2" applyFont="1" applyFill="1" applyBorder="1" applyAlignment="1" applyProtection="1">
      <alignment horizontal="center" vertical="center" wrapText="1"/>
      <protection locked="0"/>
    </xf>
    <xf numFmtId="9" fontId="8" fillId="0" borderId="13" xfId="2" applyFont="1" applyFill="1" applyBorder="1" applyAlignment="1" applyProtection="1">
      <alignment horizontal="center" vertical="center" wrapText="1"/>
      <protection locked="0"/>
    </xf>
    <xf numFmtId="0" fontId="9" fillId="0" borderId="53" xfId="0" applyFont="1" applyBorder="1" applyAlignment="1" applyProtection="1">
      <alignment horizontal="center" wrapText="1"/>
      <protection locked="0"/>
    </xf>
    <xf numFmtId="0" fontId="9" fillId="0" borderId="39" xfId="0" applyFont="1" applyBorder="1" applyAlignment="1" applyProtection="1">
      <alignment horizontal="center" wrapText="1"/>
      <protection locked="0"/>
    </xf>
    <xf numFmtId="0" fontId="8" fillId="0" borderId="24" xfId="0" applyFont="1" applyBorder="1" applyAlignment="1">
      <alignment horizontal="center" vertical="center" wrapText="1"/>
    </xf>
    <xf numFmtId="0" fontId="9" fillId="0" borderId="16" xfId="3" applyFont="1" applyBorder="1" applyAlignment="1">
      <alignment horizontal="center" vertical="center" wrapText="1"/>
    </xf>
    <xf numFmtId="0" fontId="6" fillId="0" borderId="50" xfId="3" applyFont="1" applyBorder="1" applyAlignment="1">
      <alignment vertical="center" wrapText="1"/>
    </xf>
    <xf numFmtId="9" fontId="9" fillId="0" borderId="11" xfId="2" applyFont="1" applyBorder="1" applyAlignment="1">
      <alignment horizontal="center" vertical="center"/>
    </xf>
    <xf numFmtId="9" fontId="9" fillId="0" borderId="16" xfId="2" applyFont="1" applyBorder="1" applyAlignment="1">
      <alignment horizontal="center" vertical="center"/>
    </xf>
    <xf numFmtId="9" fontId="9" fillId="0" borderId="15" xfId="2" applyFont="1" applyBorder="1" applyAlignment="1">
      <alignment horizontal="center" vertical="center"/>
    </xf>
    <xf numFmtId="0" fontId="8" fillId="0" borderId="52" xfId="0" applyFont="1" applyBorder="1" applyAlignment="1">
      <alignment horizontal="center" vertical="center" wrapText="1"/>
    </xf>
    <xf numFmtId="0" fontId="9" fillId="0" borderId="7" xfId="3" applyFont="1" applyBorder="1" applyAlignment="1">
      <alignment horizontal="center" vertical="center" wrapText="1"/>
    </xf>
    <xf numFmtId="9" fontId="16" fillId="2" borderId="51" xfId="2" applyFont="1" applyFill="1" applyBorder="1" applyAlignment="1" applyProtection="1">
      <alignment horizontal="center" vertical="center"/>
      <protection locked="0"/>
    </xf>
    <xf numFmtId="9" fontId="9" fillId="0" borderId="7" xfId="3" applyNumberFormat="1" applyFont="1" applyBorder="1" applyAlignment="1">
      <alignment horizontal="center" vertical="center" wrapText="1"/>
    </xf>
    <xf numFmtId="0" fontId="9" fillId="0" borderId="60" xfId="3" applyFont="1" applyBorder="1" applyAlignment="1">
      <alignment horizontal="center" vertical="center" wrapText="1"/>
    </xf>
    <xf numFmtId="0" fontId="9" fillId="0" borderId="23" xfId="3" applyFont="1" applyBorder="1" applyAlignment="1">
      <alignment horizontal="center" vertical="center" wrapText="1"/>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9" fontId="0" fillId="0" borderId="0" xfId="0" applyNumberFormat="1" applyAlignment="1">
      <alignment horizontal="center" vertical="center"/>
    </xf>
    <xf numFmtId="9" fontId="0" fillId="0" borderId="11" xfId="2" applyFont="1" applyBorder="1" applyAlignment="1">
      <alignment horizontal="center" vertical="center"/>
    </xf>
    <xf numFmtId="9" fontId="0" fillId="0" borderId="16" xfId="2" applyFont="1" applyBorder="1" applyAlignment="1">
      <alignment horizontal="center" vertical="center"/>
    </xf>
    <xf numFmtId="9" fontId="0" fillId="0" borderId="15" xfId="2" applyFont="1" applyBorder="1" applyAlignment="1">
      <alignment horizontal="center" vertical="center"/>
    </xf>
    <xf numFmtId="9" fontId="16" fillId="0" borderId="45" xfId="2" applyFont="1" applyFill="1" applyBorder="1" applyAlignment="1" applyProtection="1">
      <alignment horizontal="center" vertical="center"/>
      <protection locked="0"/>
    </xf>
    <xf numFmtId="9" fontId="16" fillId="0" borderId="46" xfId="2" applyFont="1" applyFill="1" applyBorder="1" applyAlignment="1" applyProtection="1">
      <alignment horizontal="center" vertical="center"/>
      <protection locked="0"/>
    </xf>
    <xf numFmtId="0" fontId="6" fillId="0" borderId="42" xfId="3" applyFont="1" applyBorder="1" applyAlignment="1">
      <alignment vertical="center" wrapText="1"/>
    </xf>
    <xf numFmtId="0" fontId="6" fillId="0" borderId="49" xfId="3" applyFont="1" applyBorder="1" applyAlignment="1">
      <alignment vertical="center" wrapText="1"/>
    </xf>
    <xf numFmtId="0" fontId="9" fillId="0" borderId="11" xfId="3" applyFont="1" applyBorder="1" applyAlignment="1">
      <alignment horizontal="center" vertical="center" wrapText="1"/>
    </xf>
    <xf numFmtId="0" fontId="9" fillId="0" borderId="15" xfId="3" applyFont="1" applyBorder="1" applyAlignment="1">
      <alignment horizontal="center" vertical="center" wrapText="1"/>
    </xf>
    <xf numFmtId="0" fontId="8" fillId="0" borderId="45"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33" xfId="5" applyFont="1" applyBorder="1" applyAlignment="1">
      <alignment horizontal="center" vertical="center" wrapText="1"/>
    </xf>
    <xf numFmtId="0" fontId="0" fillId="0" borderId="14" xfId="0" applyBorder="1" applyAlignment="1">
      <alignment horizontal="left" wrapText="1"/>
    </xf>
    <xf numFmtId="0" fontId="9" fillId="0" borderId="42" xfId="3" applyFont="1" applyBorder="1" applyAlignment="1">
      <alignment horizontal="center" vertical="center" wrapText="1"/>
    </xf>
    <xf numFmtId="0" fontId="9" fillId="0" borderId="50" xfId="3" applyFont="1" applyBorder="1" applyAlignment="1">
      <alignment horizontal="center" vertical="center" wrapText="1"/>
    </xf>
    <xf numFmtId="0" fontId="9" fillId="0" borderId="49" xfId="3" applyFont="1" applyBorder="1" applyAlignment="1">
      <alignment horizontal="center" vertical="center" wrapText="1"/>
    </xf>
    <xf numFmtId="9" fontId="14" fillId="0" borderId="11" xfId="2" applyFont="1" applyBorder="1" applyAlignment="1">
      <alignment horizontal="center" vertical="center"/>
    </xf>
    <xf numFmtId="9" fontId="14" fillId="0" borderId="16" xfId="2" applyFont="1" applyBorder="1" applyAlignment="1">
      <alignment horizontal="center" vertical="center"/>
    </xf>
    <xf numFmtId="9" fontId="6" fillId="2" borderId="11" xfId="2"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6" fillId="2" borderId="5" xfId="3" applyFont="1" applyFill="1" applyBorder="1" applyAlignment="1" applyProtection="1">
      <alignment horizontal="center" vertical="center" wrapText="1"/>
      <protection locked="0"/>
    </xf>
    <xf numFmtId="9" fontId="0" fillId="0" borderId="7" xfId="0" applyNumberFormat="1" applyBorder="1" applyAlignment="1">
      <alignment horizontal="center" vertical="center"/>
    </xf>
    <xf numFmtId="0" fontId="9" fillId="0" borderId="42" xfId="3" applyFont="1" applyBorder="1" applyAlignment="1">
      <alignment vertical="center" wrapText="1"/>
    </xf>
    <xf numFmtId="0" fontId="9" fillId="0" borderId="50" xfId="3" applyFont="1" applyBorder="1" applyAlignment="1">
      <alignment vertical="center" wrapText="1"/>
    </xf>
    <xf numFmtId="9" fontId="23" fillId="2" borderId="24" xfId="2" applyFont="1" applyFill="1" applyBorder="1" applyAlignment="1" applyProtection="1">
      <alignment horizontal="center" vertical="center"/>
      <protection locked="0"/>
    </xf>
    <xf numFmtId="9" fontId="23" fillId="2" borderId="41" xfId="2" applyFont="1" applyFill="1" applyBorder="1" applyAlignment="1" applyProtection="1">
      <alignment horizontal="center" vertical="center"/>
      <protection locked="0"/>
    </xf>
    <xf numFmtId="9" fontId="44" fillId="2" borderId="45" xfId="2" applyFont="1" applyFill="1" applyBorder="1" applyAlignment="1" applyProtection="1">
      <alignment horizontal="center" vertical="center"/>
      <protection locked="0"/>
    </xf>
    <xf numFmtId="9" fontId="44" fillId="2" borderId="46" xfId="2" applyFont="1" applyFill="1" applyBorder="1" applyAlignment="1" applyProtection="1">
      <alignment horizontal="center" vertical="center"/>
      <protection locked="0"/>
    </xf>
    <xf numFmtId="0" fontId="6" fillId="13" borderId="56" xfId="3" applyFont="1" applyFill="1" applyBorder="1" applyAlignment="1" applyProtection="1">
      <alignment horizontal="center" vertical="center" wrapText="1"/>
      <protection locked="0"/>
    </xf>
    <xf numFmtId="0" fontId="6" fillId="13" borderId="32" xfId="3" applyFont="1" applyFill="1" applyBorder="1" applyAlignment="1" applyProtection="1">
      <alignment horizontal="center" vertical="center" wrapText="1"/>
      <protection locked="0"/>
    </xf>
    <xf numFmtId="0" fontId="9" fillId="0" borderId="49" xfId="3" applyFont="1" applyBorder="1" applyAlignment="1">
      <alignment vertical="center" wrapText="1"/>
    </xf>
    <xf numFmtId="0" fontId="9" fillId="0" borderId="11" xfId="3" applyFont="1" applyBorder="1" applyAlignment="1">
      <alignment horizontal="left" vertical="center" wrapText="1"/>
    </xf>
    <xf numFmtId="0" fontId="9" fillId="0" borderId="15" xfId="3" applyFont="1" applyBorder="1" applyAlignment="1">
      <alignment horizontal="left" vertical="center" wrapText="1"/>
    </xf>
    <xf numFmtId="0" fontId="14" fillId="0" borderId="11" xfId="3" applyFont="1" applyBorder="1" applyAlignment="1">
      <alignment horizontal="left" vertical="center" wrapText="1"/>
    </xf>
    <xf numFmtId="0" fontId="14" fillId="0" borderId="15" xfId="3" applyFont="1" applyBorder="1" applyAlignment="1">
      <alignment horizontal="left" vertical="center" wrapText="1"/>
    </xf>
    <xf numFmtId="167" fontId="16" fillId="2" borderId="24" xfId="1" applyNumberFormat="1" applyFont="1" applyFill="1" applyBorder="1" applyAlignment="1" applyProtection="1">
      <alignment horizontal="center" vertical="center"/>
      <protection locked="0"/>
    </xf>
    <xf numFmtId="167" fontId="16" fillId="2" borderId="41" xfId="1" applyNumberFormat="1" applyFont="1" applyFill="1" applyBorder="1" applyAlignment="1" applyProtection="1">
      <alignment horizontal="center" vertical="center"/>
      <protection locked="0"/>
    </xf>
    <xf numFmtId="0" fontId="0" fillId="0" borderId="0" xfId="0" applyAlignment="1">
      <alignment horizontal="center" vertical="center"/>
    </xf>
    <xf numFmtId="0" fontId="16" fillId="2" borderId="39" xfId="0" applyFont="1" applyFill="1" applyBorder="1" applyAlignment="1" applyProtection="1">
      <alignment horizontal="center" vertical="center"/>
      <protection locked="0"/>
    </xf>
    <xf numFmtId="9" fontId="9" fillId="0" borderId="11" xfId="2" applyFont="1" applyBorder="1" applyAlignment="1">
      <alignment horizontal="center" vertical="center" wrapText="1"/>
    </xf>
    <xf numFmtId="9" fontId="9" fillId="0" borderId="16" xfId="2" applyFont="1" applyBorder="1" applyAlignment="1">
      <alignment horizontal="center" vertical="center" wrapText="1"/>
    </xf>
    <xf numFmtId="9" fontId="9" fillId="0" borderId="15" xfId="2" applyFont="1" applyBorder="1" applyAlignment="1">
      <alignment horizontal="center" vertical="center" wrapText="1"/>
    </xf>
    <xf numFmtId="0" fontId="8" fillId="0" borderId="4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38" fillId="2" borderId="36" xfId="3" applyFont="1" applyFill="1" applyBorder="1" applyAlignment="1" applyProtection="1">
      <alignment horizontal="center" vertical="center" wrapText="1"/>
      <protection locked="0"/>
    </xf>
    <xf numFmtId="0" fontId="38" fillId="2" borderId="15" xfId="3" applyFont="1" applyFill="1" applyBorder="1" applyAlignment="1" applyProtection="1">
      <alignment horizontal="center" vertical="center" wrapText="1"/>
      <protection locked="0"/>
    </xf>
    <xf numFmtId="0" fontId="38" fillId="2" borderId="37" xfId="3" applyFont="1" applyFill="1" applyBorder="1" applyAlignment="1" applyProtection="1">
      <alignment horizontal="center" vertical="center" wrapText="1"/>
      <protection locked="0"/>
    </xf>
    <xf numFmtId="0" fontId="38" fillId="2" borderId="33" xfId="3" applyFont="1" applyFill="1" applyBorder="1" applyAlignment="1" applyProtection="1">
      <alignment horizontal="center" vertical="center" wrapText="1"/>
      <protection locked="0"/>
    </xf>
    <xf numFmtId="167" fontId="16" fillId="2" borderId="51" xfId="1" applyNumberFormat="1" applyFont="1" applyFill="1" applyBorder="1" applyAlignment="1" applyProtection="1">
      <alignment horizontal="center" vertical="center"/>
      <protection locked="0"/>
    </xf>
    <xf numFmtId="167" fontId="16" fillId="2" borderId="39" xfId="1" applyNumberFormat="1" applyFont="1" applyFill="1" applyBorder="1" applyAlignment="1" applyProtection="1">
      <alignment horizontal="center" vertical="center"/>
      <protection locked="0"/>
    </xf>
    <xf numFmtId="0" fontId="16" fillId="2" borderId="24" xfId="1" applyNumberFormat="1" applyFont="1" applyFill="1" applyBorder="1" applyAlignment="1" applyProtection="1">
      <alignment horizontal="center" vertical="center"/>
      <protection locked="0"/>
    </xf>
    <xf numFmtId="0" fontId="16" fillId="2" borderId="41" xfId="1" applyNumberFormat="1" applyFont="1" applyFill="1" applyBorder="1" applyAlignment="1" applyProtection="1">
      <alignment horizontal="center" vertical="center"/>
      <protection locked="0"/>
    </xf>
  </cellXfs>
  <cellStyles count="8">
    <cellStyle name="Hipervínculo" xfId="6" builtinId="8"/>
    <cellStyle name="Millares" xfId="1" builtinId="3"/>
    <cellStyle name="Millares 2" xfId="7" xr:uid="{00000000-0005-0000-0000-000002000000}"/>
    <cellStyle name="Normal" xfId="0" builtinId="0"/>
    <cellStyle name="Normal 2" xfId="3" xr:uid="{00000000-0005-0000-0000-000004000000}"/>
    <cellStyle name="Normal 2 2" xfId="4" xr:uid="{00000000-0005-0000-0000-000005000000}"/>
    <cellStyle name="Normal 4" xfId="5" xr:uid="{00000000-0005-0000-0000-000006000000}"/>
    <cellStyle name="Porcentaje" xfId="2" builtinId="5"/>
  </cellStyles>
  <dxfs count="99">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CAC0DA"/>
      <color rgb="FFD9D2E4"/>
      <color rgb="FFAFEAFF"/>
      <color rgb="FF79DCFF"/>
      <color rgb="FFCC99FF"/>
      <color rgb="FFFF99FF"/>
      <color rgb="FF53D2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10</xdr:col>
      <xdr:colOff>150799</xdr:colOff>
      <xdr:row>6</xdr:row>
      <xdr:rowOff>161925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b="4028"/>
        <a:stretch/>
      </xdr:blipFill>
      <xdr:spPr>
        <a:xfrm>
          <a:off x="0" y="400050"/>
          <a:ext cx="12809524" cy="904875"/>
        </a:xfrm>
        <a:prstGeom prst="rect">
          <a:avLst/>
        </a:prstGeom>
      </xdr:spPr>
    </xdr:pic>
    <xdr:clientData/>
  </xdr:twoCellAnchor>
  <xdr:twoCellAnchor editAs="oneCell">
    <xdr:from>
      <xdr:col>0</xdr:col>
      <xdr:colOff>0</xdr:colOff>
      <xdr:row>29</xdr:row>
      <xdr:rowOff>123826</xdr:rowOff>
    </xdr:from>
    <xdr:to>
      <xdr:col>2</xdr:col>
      <xdr:colOff>29510</xdr:colOff>
      <xdr:row>35</xdr:row>
      <xdr:rowOff>0</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01026"/>
          <a:ext cx="6592235"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1627910</xdr:colOff>
      <xdr:row>0</xdr:row>
      <xdr:rowOff>138546</xdr:rowOff>
    </xdr:from>
    <xdr:to>
      <xdr:col>48</xdr:col>
      <xdr:colOff>277092</xdr:colOff>
      <xdr:row>1</xdr:row>
      <xdr:rowOff>389656</xdr:rowOff>
    </xdr:to>
    <xdr:pic>
      <xdr:nvPicPr>
        <xdr:cNvPr id="3" name="Imagen 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612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108857</xdr:colOff>
      <xdr:row>1</xdr:row>
      <xdr:rowOff>163286</xdr:rowOff>
    </xdr:from>
    <xdr:to>
      <xdr:col>2</xdr:col>
      <xdr:colOff>2041071</xdr:colOff>
      <xdr:row>2</xdr:row>
      <xdr:rowOff>319389</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83428" y="1129393"/>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58</xdr:col>
      <xdr:colOff>1627910</xdr:colOff>
      <xdr:row>0</xdr:row>
      <xdr:rowOff>138546</xdr:rowOff>
    </xdr:from>
    <xdr:to>
      <xdr:col>60</xdr:col>
      <xdr:colOff>277092</xdr:colOff>
      <xdr:row>1</xdr:row>
      <xdr:rowOff>389656</xdr:rowOff>
    </xdr:to>
    <xdr:pic>
      <xdr:nvPicPr>
        <xdr:cNvPr id="2" name="Imagen 8">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399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9821" y="1156607"/>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1627910</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06760"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149679</xdr:colOff>
      <xdr:row>1</xdr:row>
      <xdr:rowOff>190500</xdr:rowOff>
    </xdr:from>
    <xdr:to>
      <xdr:col>2</xdr:col>
      <xdr:colOff>2081893</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24250" y="1156607"/>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5.xml><?xml version="1.0" encoding="utf-8"?>
<xdr:wsDr xmlns:xdr="http://schemas.openxmlformats.org/drawingml/2006/spreadsheetDrawing" xmlns:a="http://schemas.openxmlformats.org/drawingml/2006/main">
  <xdr:twoCellAnchor>
    <xdr:from>
      <xdr:col>73</xdr:col>
      <xdr:colOff>1627910</xdr:colOff>
      <xdr:row>0</xdr:row>
      <xdr:rowOff>138546</xdr:rowOff>
    </xdr:from>
    <xdr:to>
      <xdr:col>75</xdr:col>
      <xdr:colOff>277092</xdr:colOff>
      <xdr:row>1</xdr:row>
      <xdr:rowOff>389656</xdr:rowOff>
    </xdr:to>
    <xdr:pic>
      <xdr:nvPicPr>
        <xdr:cNvPr id="2" name="Imagen 8">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399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231322</xdr:colOff>
      <xdr:row>1</xdr:row>
      <xdr:rowOff>176893</xdr:rowOff>
    </xdr:from>
    <xdr:to>
      <xdr:col>2</xdr:col>
      <xdr:colOff>2163536</xdr:colOff>
      <xdr:row>2</xdr:row>
      <xdr:rowOff>332996</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605893"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6.xml><?xml version="1.0" encoding="utf-8"?>
<xdr:wsDr xmlns:xdr="http://schemas.openxmlformats.org/drawingml/2006/spreadsheetDrawing" xmlns:a="http://schemas.openxmlformats.org/drawingml/2006/main">
  <xdr:twoCellAnchor>
    <xdr:from>
      <xdr:col>110</xdr:col>
      <xdr:colOff>1627910</xdr:colOff>
      <xdr:row>0</xdr:row>
      <xdr:rowOff>138546</xdr:rowOff>
    </xdr:from>
    <xdr:to>
      <xdr:col>112</xdr:col>
      <xdr:colOff>277092</xdr:colOff>
      <xdr:row>1</xdr:row>
      <xdr:rowOff>389656</xdr:rowOff>
    </xdr:to>
    <xdr:pic>
      <xdr:nvPicPr>
        <xdr:cNvPr id="2" name="Imagen 8">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399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149679</xdr:colOff>
      <xdr:row>1</xdr:row>
      <xdr:rowOff>217714</xdr:rowOff>
    </xdr:from>
    <xdr:to>
      <xdr:col>2</xdr:col>
      <xdr:colOff>2081893</xdr:colOff>
      <xdr:row>2</xdr:row>
      <xdr:rowOff>373817</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24250" y="1183821"/>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7.xml><?xml version="1.0" encoding="utf-8"?>
<xdr:wsDr xmlns:xdr="http://schemas.openxmlformats.org/drawingml/2006/spreadsheetDrawing" xmlns:a="http://schemas.openxmlformats.org/drawingml/2006/main">
  <xdr:twoCellAnchor>
    <xdr:from>
      <xdr:col>57</xdr:col>
      <xdr:colOff>1627910</xdr:colOff>
      <xdr:row>0</xdr:row>
      <xdr:rowOff>138546</xdr:rowOff>
    </xdr:from>
    <xdr:to>
      <xdr:col>59</xdr:col>
      <xdr:colOff>277092</xdr:colOff>
      <xdr:row>1</xdr:row>
      <xdr:rowOff>389656</xdr:rowOff>
    </xdr:to>
    <xdr:pic>
      <xdr:nvPicPr>
        <xdr:cNvPr id="2" name="Imagen 8">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6385"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136073</xdr:colOff>
      <xdr:row>1</xdr:row>
      <xdr:rowOff>136071</xdr:rowOff>
    </xdr:from>
    <xdr:to>
      <xdr:col>2</xdr:col>
      <xdr:colOff>2068287</xdr:colOff>
      <xdr:row>2</xdr:row>
      <xdr:rowOff>292174</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0644" y="1102178"/>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1627910</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9410"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163286</xdr:colOff>
      <xdr:row>1</xdr:row>
      <xdr:rowOff>149678</xdr:rowOff>
    </xdr:from>
    <xdr:to>
      <xdr:col>2</xdr:col>
      <xdr:colOff>2095500</xdr:colOff>
      <xdr:row>2</xdr:row>
      <xdr:rowOff>305781</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37857" y="1115785"/>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9.xml><?xml version="1.0" encoding="utf-8"?>
<xdr:wsDr xmlns:xdr="http://schemas.openxmlformats.org/drawingml/2006/spreadsheetDrawing" xmlns:a="http://schemas.openxmlformats.org/drawingml/2006/main">
  <xdr:twoCellAnchor>
    <xdr:from>
      <xdr:col>36</xdr:col>
      <xdr:colOff>1627910</xdr:colOff>
      <xdr:row>0</xdr:row>
      <xdr:rowOff>138546</xdr:rowOff>
    </xdr:from>
    <xdr:to>
      <xdr:col>38</xdr:col>
      <xdr:colOff>277092</xdr:colOff>
      <xdr:row>1</xdr:row>
      <xdr:rowOff>389656</xdr:rowOff>
    </xdr:to>
    <xdr:pic>
      <xdr:nvPicPr>
        <xdr:cNvPr id="2" name="Imagen 8">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41760"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163286</xdr:colOff>
      <xdr:row>1</xdr:row>
      <xdr:rowOff>176893</xdr:rowOff>
    </xdr:from>
    <xdr:to>
      <xdr:col>2</xdr:col>
      <xdr:colOff>2095500</xdr:colOff>
      <xdr:row>2</xdr:row>
      <xdr:rowOff>332996</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37857"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0.xml><?xml version="1.0" encoding="utf-8"?>
<xdr:wsDr xmlns:xdr="http://schemas.openxmlformats.org/drawingml/2006/spreadsheetDrawing" xmlns:a="http://schemas.openxmlformats.org/drawingml/2006/main">
  <xdr:twoCellAnchor>
    <xdr:from>
      <xdr:col>93</xdr:col>
      <xdr:colOff>1627910</xdr:colOff>
      <xdr:row>0</xdr:row>
      <xdr:rowOff>138546</xdr:rowOff>
    </xdr:from>
    <xdr:to>
      <xdr:col>95</xdr:col>
      <xdr:colOff>277092</xdr:colOff>
      <xdr:row>1</xdr:row>
      <xdr:rowOff>389656</xdr:rowOff>
    </xdr:to>
    <xdr:pic>
      <xdr:nvPicPr>
        <xdr:cNvPr id="2" name="Imagen 8">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447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136072</xdr:colOff>
      <xdr:row>1</xdr:row>
      <xdr:rowOff>163285</xdr:rowOff>
    </xdr:from>
    <xdr:to>
      <xdr:col>2</xdr:col>
      <xdr:colOff>2068286</xdr:colOff>
      <xdr:row>2</xdr:row>
      <xdr:rowOff>319388</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0643" y="1129392"/>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1.xml><?xml version="1.0" encoding="utf-8"?>
<xdr:wsDr xmlns:xdr="http://schemas.openxmlformats.org/drawingml/2006/spreadsheetDrawing" xmlns:a="http://schemas.openxmlformats.org/drawingml/2006/main">
  <xdr:twoCellAnchor>
    <xdr:from>
      <xdr:col>39</xdr:col>
      <xdr:colOff>1627910</xdr:colOff>
      <xdr:row>0</xdr:row>
      <xdr:rowOff>138546</xdr:rowOff>
    </xdr:from>
    <xdr:to>
      <xdr:col>41</xdr:col>
      <xdr:colOff>277092</xdr:colOff>
      <xdr:row>1</xdr:row>
      <xdr:rowOff>389656</xdr:rowOff>
    </xdr:to>
    <xdr:pic>
      <xdr:nvPicPr>
        <xdr:cNvPr id="2" name="Imagen 8">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1785"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81645</xdr:colOff>
      <xdr:row>1</xdr:row>
      <xdr:rowOff>190499</xdr:rowOff>
    </xdr:from>
    <xdr:to>
      <xdr:col>2</xdr:col>
      <xdr:colOff>2013859</xdr:colOff>
      <xdr:row>2</xdr:row>
      <xdr:rowOff>346602</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56216" y="1156606"/>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1627910</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70235"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1</xdr:row>
      <xdr:rowOff>154781</xdr:rowOff>
    </xdr:from>
    <xdr:to>
      <xdr:col>2</xdr:col>
      <xdr:colOff>2075089</xdr:colOff>
      <xdr:row>2</xdr:row>
      <xdr:rowOff>317688</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2344" y="1119187"/>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950097</xdr:colOff>
      <xdr:row>0</xdr:row>
      <xdr:rowOff>91321</xdr:rowOff>
    </xdr:from>
    <xdr:to>
      <xdr:col>48</xdr:col>
      <xdr:colOff>804422</xdr:colOff>
      <xdr:row>1</xdr:row>
      <xdr:rowOff>365494</xdr:rowOff>
    </xdr:to>
    <xdr:pic>
      <xdr:nvPicPr>
        <xdr:cNvPr id="2" name="Imagen 8">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00990" y="91321"/>
          <a:ext cx="3392182" cy="1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1</xdr:row>
      <xdr:rowOff>149679</xdr:rowOff>
    </xdr:from>
    <xdr:to>
      <xdr:col>2</xdr:col>
      <xdr:colOff>2122714</xdr:colOff>
      <xdr:row>2</xdr:row>
      <xdr:rowOff>305782</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65071" y="1115786"/>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4.xml><?xml version="1.0" encoding="utf-8"?>
<xdr:wsDr xmlns:xdr="http://schemas.openxmlformats.org/drawingml/2006/spreadsheetDrawing" xmlns:a="http://schemas.openxmlformats.org/drawingml/2006/main">
  <xdr:twoCellAnchor>
    <xdr:from>
      <xdr:col>34</xdr:col>
      <xdr:colOff>371475</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52075" y="138546"/>
          <a:ext cx="142961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204108</xdr:colOff>
      <xdr:row>1</xdr:row>
      <xdr:rowOff>149678</xdr:rowOff>
    </xdr:from>
    <xdr:to>
      <xdr:col>3</xdr:col>
      <xdr:colOff>81643</xdr:colOff>
      <xdr:row>2</xdr:row>
      <xdr:rowOff>305781</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78679" y="1115785"/>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5.xml><?xml version="1.0" encoding="utf-8"?>
<xdr:wsDr xmlns:xdr="http://schemas.openxmlformats.org/drawingml/2006/spreadsheetDrawing" xmlns:a="http://schemas.openxmlformats.org/drawingml/2006/main">
  <xdr:twoCellAnchor>
    <xdr:from>
      <xdr:col>34</xdr:col>
      <xdr:colOff>1627910</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590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122464</xdr:colOff>
      <xdr:row>1</xdr:row>
      <xdr:rowOff>163286</xdr:rowOff>
    </xdr:from>
    <xdr:to>
      <xdr:col>2</xdr:col>
      <xdr:colOff>2054678</xdr:colOff>
      <xdr:row>2</xdr:row>
      <xdr:rowOff>319389</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97035" y="1129393"/>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6.xml><?xml version="1.0" encoding="utf-8"?>
<xdr:wsDr xmlns:xdr="http://schemas.openxmlformats.org/drawingml/2006/spreadsheetDrawing" xmlns:a="http://schemas.openxmlformats.org/drawingml/2006/main">
  <xdr:twoCellAnchor>
    <xdr:from>
      <xdr:col>34</xdr:col>
      <xdr:colOff>1627910</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038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176893</xdr:colOff>
      <xdr:row>1</xdr:row>
      <xdr:rowOff>122464</xdr:rowOff>
    </xdr:from>
    <xdr:to>
      <xdr:col>2</xdr:col>
      <xdr:colOff>2109107</xdr:colOff>
      <xdr:row>2</xdr:row>
      <xdr:rowOff>278567</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51464" y="1088571"/>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7.xml><?xml version="1.0" encoding="utf-8"?>
<xdr:wsDr xmlns:xdr="http://schemas.openxmlformats.org/drawingml/2006/spreadsheetDrawing" xmlns:a="http://schemas.openxmlformats.org/drawingml/2006/main">
  <xdr:twoCellAnchor>
    <xdr:from>
      <xdr:col>34</xdr:col>
      <xdr:colOff>1627910</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09110"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176893</xdr:colOff>
      <xdr:row>1</xdr:row>
      <xdr:rowOff>122464</xdr:rowOff>
    </xdr:from>
    <xdr:to>
      <xdr:col>2</xdr:col>
      <xdr:colOff>2109107</xdr:colOff>
      <xdr:row>2</xdr:row>
      <xdr:rowOff>278567</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48743" y="1084489"/>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8.xml><?xml version="1.0" encoding="utf-8"?>
<xdr:wsDr xmlns:xdr="http://schemas.openxmlformats.org/drawingml/2006/spreadsheetDrawing" xmlns:a="http://schemas.openxmlformats.org/drawingml/2006/main">
  <xdr:twoCellAnchor>
    <xdr:from>
      <xdr:col>34</xdr:col>
      <xdr:colOff>1627910</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86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217715</xdr:colOff>
      <xdr:row>1</xdr:row>
      <xdr:rowOff>204107</xdr:rowOff>
    </xdr:from>
    <xdr:to>
      <xdr:col>2</xdr:col>
      <xdr:colOff>2149929</xdr:colOff>
      <xdr:row>2</xdr:row>
      <xdr:rowOff>360210</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92286" y="1170214"/>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9.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86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136071</xdr:colOff>
      <xdr:row>1</xdr:row>
      <xdr:rowOff>176893</xdr:rowOff>
    </xdr:from>
    <xdr:to>
      <xdr:col>2</xdr:col>
      <xdr:colOff>2068285</xdr:colOff>
      <xdr:row>2</xdr:row>
      <xdr:rowOff>332996</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0642"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0.xml><?xml version="1.0" encoding="utf-8"?>
<xdr:wsDr xmlns:xdr="http://schemas.openxmlformats.org/drawingml/2006/spreadsheetDrawing" xmlns:a="http://schemas.openxmlformats.org/drawingml/2006/main">
  <xdr:twoCellAnchor>
    <xdr:from>
      <xdr:col>34</xdr:col>
      <xdr:colOff>1627910</xdr:colOff>
      <xdr:row>0</xdr:row>
      <xdr:rowOff>138546</xdr:rowOff>
    </xdr:from>
    <xdr:to>
      <xdr:col>36</xdr:col>
      <xdr:colOff>277092</xdr:colOff>
      <xdr:row>1</xdr:row>
      <xdr:rowOff>389656</xdr:rowOff>
    </xdr:to>
    <xdr:pic>
      <xdr:nvPicPr>
        <xdr:cNvPr id="2" name="Imagen 8">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46660" y="138546"/>
          <a:ext cx="1039957" cy="241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9821" y="1156607"/>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1.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188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122464</xdr:colOff>
      <xdr:row>1</xdr:row>
      <xdr:rowOff>258536</xdr:rowOff>
    </xdr:from>
    <xdr:to>
      <xdr:col>2</xdr:col>
      <xdr:colOff>2054678</xdr:colOff>
      <xdr:row>2</xdr:row>
      <xdr:rowOff>414639</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97035" y="1224643"/>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2.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188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244929</xdr:rowOff>
    </xdr:from>
    <xdr:to>
      <xdr:col>2</xdr:col>
      <xdr:colOff>2027464</xdr:colOff>
      <xdr:row>2</xdr:row>
      <xdr:rowOff>401032</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9821" y="1211036"/>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3.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25710"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163285</xdr:colOff>
      <xdr:row>1</xdr:row>
      <xdr:rowOff>176893</xdr:rowOff>
    </xdr:from>
    <xdr:to>
      <xdr:col>2</xdr:col>
      <xdr:colOff>2095499</xdr:colOff>
      <xdr:row>2</xdr:row>
      <xdr:rowOff>332996</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37856"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03/Desktop/ESCRITORIO/Herramienta%20POA%202021%20Final%20conso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INST"/>
      <sheetName val="Instructivo Evaluación"/>
      <sheetName val="PLAN DESARROLLO"/>
      <sheetName val="PROGRAMAS ESTRATEGICOS"/>
      <sheetName val="Despliegue POA"/>
      <sheetName val="Programa Humanizacion"/>
      <sheetName val="Modelo Atención"/>
      <sheetName val="Acreditación"/>
      <sheetName val="Seguridad Paciente"/>
      <sheetName val="Alta Complejidad"/>
      <sheetName val="PEGIF"/>
      <sheetName val="Costos"/>
      <sheetName val="Prevención Daño Ant"/>
      <sheetName val="MIPG"/>
      <sheetName val="Integración SI"/>
      <sheetName val="Construcción-Adecuación"/>
      <sheetName val="Gestión Tecnología"/>
      <sheetName val="PEGITH"/>
      <sheetName val="ISO 140012015"/>
      <sheetName val="ISO 450012018"/>
      <sheetName val="ISO 90012015"/>
      <sheetName val="BPE"/>
      <sheetName val="BPM"/>
      <sheetName val="Gestion Investigación"/>
      <sheetName val="Líneas Investigación"/>
      <sheetName val="Congresos"/>
      <sheetName val="Alianzas Estratégicas"/>
      <sheetName val="Hoja2"/>
      <sheetName val="Hoja3"/>
    </sheetNames>
    <sheetDataSet>
      <sheetData sheetId="0"/>
      <sheetData sheetId="1"/>
      <sheetData sheetId="2"/>
      <sheetData sheetId="3"/>
      <sheetData sheetId="4"/>
      <sheetData sheetId="5"/>
      <sheetData sheetId="6"/>
      <sheetData sheetId="7"/>
      <sheetData sheetId="8"/>
      <sheetData sheetId="9"/>
      <sheetData sheetId="10">
        <row r="5">
          <cell r="M5" t="str">
            <v>Gestión Financiera</v>
          </cell>
          <cell r="N5" t="str">
            <v>Facturación</v>
          </cell>
          <cell r="O5" t="str">
            <v>Auditoria Cuentas</v>
          </cell>
          <cell r="P5" t="str">
            <v>Cartera</v>
          </cell>
          <cell r="Q5" t="str">
            <v>Gestión Juridica</v>
          </cell>
          <cell r="R5" t="str">
            <v>Gestión Clínica</v>
          </cell>
          <cell r="S5" t="str">
            <v>GESTIÓN QUIRÚRGICA</v>
          </cell>
        </row>
        <row r="29">
          <cell r="L29" t="str">
            <v>PROMEDIO</v>
          </cell>
          <cell r="M29">
            <v>0.7</v>
          </cell>
          <cell r="N29">
            <v>1</v>
          </cell>
          <cell r="O29">
            <v>0.75</v>
          </cell>
          <cell r="P29">
            <v>0.14499999999999999</v>
          </cell>
          <cell r="Q29">
            <v>1</v>
          </cell>
          <cell r="R29">
            <v>0.92336701295004986</v>
          </cell>
          <cell r="S29">
            <v>1</v>
          </cell>
          <cell r="T29" t="str">
            <v>-</v>
          </cell>
          <cell r="U29" t="str">
            <v>-</v>
          </cell>
          <cell r="V29"/>
        </row>
      </sheetData>
      <sheetData sheetId="11">
        <row r="5">
          <cell r="M5" t="str">
            <v>Gestión Financiera</v>
          </cell>
          <cell r="N5" t="str">
            <v>ASPECTOS A TENER EN CUENTA AL EVALUAR ESTE INDICADOR</v>
          </cell>
          <cell r="O5" t="str">
            <v>OBSERVACIONES LIDER PROCESO</v>
          </cell>
        </row>
        <row r="12">
          <cell r="L12" t="str">
            <v>PROMEDIO</v>
          </cell>
          <cell r="M12">
            <v>0.79749999999999999</v>
          </cell>
          <cell r="N12"/>
          <cell r="O12"/>
        </row>
      </sheetData>
      <sheetData sheetId="12">
        <row r="5">
          <cell r="M5" t="str">
            <v>GESTIÓN JURIDICA</v>
          </cell>
          <cell r="N5" t="str">
            <v>CALIDAD</v>
          </cell>
          <cell r="O5" t="str">
            <v>SEGURIDAD DEL PACIENTE</v>
          </cell>
        </row>
        <row r="12">
          <cell r="L12" t="str">
            <v>PROMEDIO</v>
          </cell>
          <cell r="M12">
            <v>1</v>
          </cell>
          <cell r="N12">
            <v>0.91</v>
          </cell>
          <cell r="O12">
            <v>0.53</v>
          </cell>
        </row>
      </sheetData>
      <sheetData sheetId="13">
        <row r="7">
          <cell r="M7">
            <v>0.66700000000000004</v>
          </cell>
          <cell r="N7">
            <v>0.8</v>
          </cell>
        </row>
      </sheetData>
      <sheetData sheetId="14">
        <row r="5">
          <cell r="M5" t="str">
            <v>GESTIÓN DE SISTEMAS DE INFORMACIÓN Y COMUNICACIONES</v>
          </cell>
          <cell r="N5" t="str">
            <v>Radiología e Imágenes
diagnósticas</v>
          </cell>
          <cell r="O5" t="str">
            <v>FACTURACIÓN</v>
          </cell>
          <cell r="P5" t="str">
            <v>APOYO SERVICIOS DE SALUD</v>
          </cell>
        </row>
        <row r="10">
          <cell r="L10" t="str">
            <v>PROMEDIO</v>
          </cell>
          <cell r="M10">
            <v>0.81666666666666676</v>
          </cell>
          <cell r="N10" t="str">
            <v>-</v>
          </cell>
          <cell r="O10" t="str">
            <v>-</v>
          </cell>
          <cell r="P10" t="str">
            <v>-</v>
          </cell>
        </row>
      </sheetData>
      <sheetData sheetId="15">
        <row r="5">
          <cell r="M5" t="str">
            <v>GESTIÓN DE MANTENIMIENTO</v>
          </cell>
          <cell r="N5" t="str">
            <v>ASPECTOS A TENER EN CUENTA AL EVALUAR ESTE INDICADOR</v>
          </cell>
          <cell r="O5" t="str">
            <v>OBSERVACIONES LIDER PROCESO</v>
          </cell>
        </row>
        <row r="12">
          <cell r="L12" t="str">
            <v>PROMEDIO</v>
          </cell>
          <cell r="M12">
            <v>0.66237999999999997</v>
          </cell>
          <cell r="N12"/>
          <cell r="O12"/>
        </row>
      </sheetData>
      <sheetData sheetId="16">
        <row r="5">
          <cell r="M5" t="str">
            <v>GESTIÓN TECNOLOGICA</v>
          </cell>
          <cell r="N5" t="str">
            <v>GESTIÓN DE MANTENIMIENTO</v>
          </cell>
          <cell r="O5" t="str">
            <v>GESTIÓN DE SISTEMAS DE INFORMACIÓN Y COMUNICACIONES</v>
          </cell>
          <cell r="P5" t="str">
            <v>GESTIÓN SUMINISTROS Y ACTIVOS FIJOS</v>
          </cell>
        </row>
        <row r="10">
          <cell r="L10" t="str">
            <v>PROMEDIO</v>
          </cell>
          <cell r="M10">
            <v>0.84761904761904761</v>
          </cell>
          <cell r="N10" t="str">
            <v>-</v>
          </cell>
          <cell r="O10" t="str">
            <v>-</v>
          </cell>
          <cell r="P10">
            <v>1</v>
          </cell>
        </row>
      </sheetData>
      <sheetData sheetId="17">
        <row r="5">
          <cell r="M5" t="str">
            <v>GESTIÓN DE TALENTO HUMANO</v>
          </cell>
          <cell r="N5" t="str">
            <v>GESTION FARMACEUTICA</v>
          </cell>
          <cell r="O5" t="str">
            <v>SEGURIDAD Y SALUD EN EL TRABAJO</v>
          </cell>
          <cell r="P5" t="str">
            <v>SISTEMA GESTIÓN AMBIENTAL</v>
          </cell>
          <cell r="Q5" t="str">
            <v>IAMI</v>
          </cell>
          <cell r="R5" t="str">
            <v>LABORATORIO CLINICO</v>
          </cell>
          <cell r="S5" t="str">
            <v>ENFERMERIA</v>
          </cell>
          <cell r="T5" t="str">
            <v>FACTURACIÓN</v>
          </cell>
        </row>
        <row r="16">
          <cell r="L16" t="str">
            <v>PROMEDIO</v>
          </cell>
          <cell r="M16">
            <v>0.92874999999999996</v>
          </cell>
          <cell r="N16">
            <v>1</v>
          </cell>
          <cell r="O16">
            <v>1</v>
          </cell>
          <cell r="P16">
            <v>1</v>
          </cell>
          <cell r="Q16">
            <v>1</v>
          </cell>
          <cell r="R16">
            <v>1</v>
          </cell>
          <cell r="S16">
            <v>1</v>
          </cell>
          <cell r="T16">
            <v>1</v>
          </cell>
        </row>
      </sheetData>
      <sheetData sheetId="18">
        <row r="5">
          <cell r="M5" t="str">
            <v>SISTEMA GESTIÓN AMBIENTAL</v>
          </cell>
          <cell r="N5" t="str">
            <v>ASPECTOS A TENER EN CUENTA AL EVALUAR ESTE INDICADOR</v>
          </cell>
          <cell r="O5" t="str">
            <v xml:space="preserve">OBSERVACIONES LIDER PROCESO
EVIDENCIA </v>
          </cell>
        </row>
        <row r="8">
          <cell r="L8" t="str">
            <v>PROMEDIO</v>
          </cell>
          <cell r="M8">
            <v>0.94</v>
          </cell>
          <cell r="N8"/>
          <cell r="O8"/>
        </row>
      </sheetData>
      <sheetData sheetId="19">
        <row r="5">
          <cell r="M5" t="str">
            <v>SEGURIDAD Y SALUD EN EL TRABAJO</v>
          </cell>
          <cell r="N5" t="str">
            <v>ASPECTOS A TENER EN CUENTA AL EVALUAR ESTE INDICADOR</v>
          </cell>
          <cell r="O5" t="str">
            <v xml:space="preserve">OBSERVACIONES LIDER PROCESO
EVIDENCIA </v>
          </cell>
        </row>
        <row r="8">
          <cell r="L8" t="str">
            <v>PROMEDIO</v>
          </cell>
          <cell r="M8">
            <v>0.91</v>
          </cell>
          <cell r="N8" t="str">
            <v>-</v>
          </cell>
          <cell r="O8" t="str">
            <v>-</v>
          </cell>
        </row>
      </sheetData>
      <sheetData sheetId="20">
        <row r="5">
          <cell r="M5" t="str">
            <v>Calidad</v>
          </cell>
          <cell r="N5" t="str">
            <v>ASPECTOS A TENER EN CUENTA AL EVALUAR ESTE INDICADOR</v>
          </cell>
          <cell r="O5" t="str">
            <v xml:space="preserve">OBSERVACIONES LIDER PROCESO
EVIDENCIA </v>
          </cell>
        </row>
        <row r="8">
          <cell r="L8" t="str">
            <v>PROMEDIO</v>
          </cell>
          <cell r="M8">
            <v>0.91</v>
          </cell>
          <cell r="N8" t="str">
            <v>-</v>
          </cell>
          <cell r="O8" t="str">
            <v>-</v>
          </cell>
        </row>
      </sheetData>
      <sheetData sheetId="21">
        <row r="5">
          <cell r="M5" t="str">
            <v>GESTION FARMACEUTICA</v>
          </cell>
          <cell r="N5" t="str">
            <v>ASPECTOS A TENER EN CUENTA AL EVALUAR ESTE INDICADOR</v>
          </cell>
          <cell r="O5" t="str">
            <v>OBSERVACIONES LIDER PROCESO</v>
          </cell>
        </row>
        <row r="8">
          <cell r="L8" t="str">
            <v>PROMEDIO</v>
          </cell>
          <cell r="M8">
            <v>0</v>
          </cell>
          <cell r="N8"/>
          <cell r="O8"/>
        </row>
      </sheetData>
      <sheetData sheetId="22">
        <row r="5">
          <cell r="M5" t="str">
            <v>GESTION FARMACEUTICA</v>
          </cell>
          <cell r="N5" t="str">
            <v>ASPECTOS A TENER EN CUENTA AL EVALUAR ESTE INDICADOR</v>
          </cell>
          <cell r="O5" t="str">
            <v>OBSERVACIONES LIDER PROCESO</v>
          </cell>
        </row>
        <row r="8">
          <cell r="L8" t="str">
            <v>PROMEDIO</v>
          </cell>
          <cell r="M8">
            <v>0</v>
          </cell>
          <cell r="N8"/>
          <cell r="O8"/>
        </row>
      </sheetData>
      <sheetData sheetId="23">
        <row r="5">
          <cell r="M5" t="str">
            <v>GESTIÓN DE INVESTIGACIÓN E INNOVACIÓN</v>
          </cell>
          <cell r="N5" t="str">
            <v>ASPECTOS A TENER EN CUENTA AL EVALUAR ESTE INDICADOR</v>
          </cell>
          <cell r="O5" t="str">
            <v>OBSERVACIONES LIDER PROCESO</v>
          </cell>
        </row>
        <row r="11">
          <cell r="L11" t="str">
            <v>PROMEDIO</v>
          </cell>
          <cell r="M11">
            <v>0.8833333333333333</v>
          </cell>
          <cell r="N11"/>
          <cell r="O11"/>
        </row>
      </sheetData>
      <sheetData sheetId="24">
        <row r="5">
          <cell r="M5" t="str">
            <v>Gestión de Investigación e Innovación</v>
          </cell>
          <cell r="N5" t="str">
            <v>ASPECTOS A TENER EN CUENTA AL EVALUAR ESTE INDICADOR</v>
          </cell>
          <cell r="O5" t="str">
            <v>OBSERVACIONES LIDER PROCESO</v>
          </cell>
        </row>
        <row r="8">
          <cell r="L8" t="str">
            <v>PROMEDIO</v>
          </cell>
          <cell r="M8">
            <v>0.9</v>
          </cell>
          <cell r="N8"/>
          <cell r="O8"/>
        </row>
      </sheetData>
      <sheetData sheetId="25">
        <row r="5">
          <cell r="M5" t="str">
            <v>Gestión de Investigación e Innovación</v>
          </cell>
          <cell r="N5" t="str">
            <v>ASPECTOS A TENER EN CUENTA AL EVALUAR ESTE INDICADOR</v>
          </cell>
          <cell r="O5" t="str">
            <v>OBSERVACIONES LIDER PROCESO</v>
          </cell>
        </row>
        <row r="8">
          <cell r="L8" t="str">
            <v>PROMEDIO</v>
          </cell>
          <cell r="M8" t="str">
            <v>.</v>
          </cell>
          <cell r="N8"/>
          <cell r="O8"/>
        </row>
      </sheetData>
      <sheetData sheetId="26">
        <row r="5">
          <cell r="M5" t="str">
            <v>Gestión de Investigación e Innovación</v>
          </cell>
          <cell r="N5" t="str">
            <v>ASPECTOS A TENER EN CUENTA AL EVALUAR ESTE INDICADOR</v>
          </cell>
          <cell r="O5" t="str">
            <v>OBSERVACIONES LIDER PROCESO</v>
          </cell>
        </row>
        <row r="8">
          <cell r="L8" t="str">
            <v>PROMEDIO</v>
          </cell>
          <cell r="M8">
            <v>1</v>
          </cell>
          <cell r="N8"/>
          <cell r="O8"/>
        </row>
      </sheetData>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69"/>
  <sheetViews>
    <sheetView topLeftCell="D1" zoomScale="70" zoomScaleNormal="70" workbookViewId="0">
      <selection activeCell="K7" sqref="K7"/>
    </sheetView>
  </sheetViews>
  <sheetFormatPr baseColWidth="10" defaultRowHeight="12.75" x14ac:dyDescent="0.2"/>
  <cols>
    <col min="1" max="1" width="37.5703125" style="2" customWidth="1"/>
    <col min="2" max="2" width="34.28515625" style="2" customWidth="1"/>
    <col min="3" max="3" width="35.140625" style="2" customWidth="1"/>
    <col min="4" max="4" width="31.85546875" style="3" customWidth="1"/>
    <col min="5" max="5" width="14.42578125" style="3" customWidth="1"/>
    <col min="6" max="6" width="25.5703125" style="3" customWidth="1"/>
    <col min="7" max="7" width="26.28515625" style="3" customWidth="1"/>
    <col min="8" max="8" width="16.140625" style="3" customWidth="1"/>
    <col min="9" max="9" width="19.42578125" style="2" customWidth="1"/>
    <col min="10" max="10" width="14.85546875" style="2" customWidth="1"/>
    <col min="11" max="11" width="15.28515625" style="2" customWidth="1"/>
    <col min="12" max="12" width="14.28515625" style="2" customWidth="1"/>
    <col min="13" max="13" width="17.28515625" style="2" customWidth="1"/>
    <col min="14" max="14" width="17.7109375" style="2" customWidth="1"/>
    <col min="15" max="15" width="17.85546875" style="2" customWidth="1"/>
    <col min="16" max="16" width="19.140625" style="2" customWidth="1"/>
    <col min="17" max="17" width="18.7109375" style="2" customWidth="1"/>
    <col min="18" max="18" width="21" style="2" customWidth="1"/>
    <col min="19" max="19" width="11.42578125" style="2"/>
    <col min="20" max="20" width="11.42578125" style="2" customWidth="1"/>
    <col min="21" max="16384" width="11.42578125" style="2"/>
  </cols>
  <sheetData>
    <row r="1" spans="1:18" ht="53.25" customHeight="1" x14ac:dyDescent="0.2">
      <c r="A1" s="1"/>
      <c r="B1" s="517" t="s">
        <v>0</v>
      </c>
      <c r="C1" s="518"/>
      <c r="D1" s="518"/>
      <c r="E1" s="518"/>
      <c r="F1" s="518"/>
      <c r="G1" s="518"/>
      <c r="H1" s="518"/>
      <c r="I1" s="518"/>
      <c r="J1" s="518"/>
      <c r="K1" s="518"/>
      <c r="L1" s="518"/>
      <c r="M1" s="518"/>
      <c r="N1" s="518"/>
      <c r="O1" s="518"/>
      <c r="P1" s="518"/>
      <c r="Q1" s="518"/>
      <c r="R1" s="518"/>
    </row>
    <row r="2" spans="1:18" ht="21" customHeight="1" x14ac:dyDescent="0.2">
      <c r="A2" s="519"/>
      <c r="B2" s="521" t="s">
        <v>191</v>
      </c>
      <c r="C2" s="522"/>
      <c r="D2" s="522"/>
      <c r="E2" s="522"/>
      <c r="F2" s="522"/>
      <c r="G2" s="522"/>
      <c r="H2" s="522"/>
      <c r="I2" s="522"/>
      <c r="J2" s="522"/>
      <c r="K2" s="522"/>
      <c r="L2" s="522"/>
      <c r="M2" s="522"/>
      <c r="N2" s="522"/>
      <c r="O2" s="522"/>
      <c r="P2" s="522"/>
      <c r="Q2" s="522"/>
      <c r="R2" s="522"/>
    </row>
    <row r="3" spans="1:18" ht="16.5" customHeight="1" thickBot="1" x14ac:dyDescent="0.25">
      <c r="A3" s="520"/>
      <c r="B3" s="523"/>
      <c r="C3" s="524"/>
      <c r="D3" s="524"/>
      <c r="E3" s="524"/>
      <c r="F3" s="524"/>
      <c r="G3" s="524"/>
      <c r="H3" s="524"/>
      <c r="I3" s="524"/>
      <c r="J3" s="524"/>
      <c r="K3" s="524"/>
      <c r="L3" s="524"/>
      <c r="M3" s="524"/>
      <c r="N3" s="524"/>
      <c r="O3" s="524"/>
      <c r="P3" s="524"/>
      <c r="Q3" s="524"/>
      <c r="R3" s="524"/>
    </row>
    <row r="4" spans="1:18" ht="9.75" customHeight="1" x14ac:dyDescent="0.25">
      <c r="A4" s="525"/>
      <c r="B4" s="525"/>
      <c r="C4" s="525"/>
    </row>
    <row r="5" spans="1:18" ht="57" customHeight="1" x14ac:dyDescent="0.2">
      <c r="A5" s="513" t="s">
        <v>1</v>
      </c>
      <c r="B5" s="513" t="s">
        <v>2</v>
      </c>
      <c r="C5" s="513" t="s">
        <v>3</v>
      </c>
      <c r="D5" s="513" t="s">
        <v>4</v>
      </c>
      <c r="E5" s="513" t="s">
        <v>5</v>
      </c>
      <c r="F5" s="513" t="s">
        <v>6</v>
      </c>
      <c r="G5" s="513" t="s">
        <v>7</v>
      </c>
      <c r="H5" s="513" t="s">
        <v>8</v>
      </c>
      <c r="I5" s="513" t="s">
        <v>9</v>
      </c>
      <c r="J5" s="515" t="s">
        <v>10</v>
      </c>
      <c r="K5" s="515"/>
      <c r="L5" s="515"/>
      <c r="M5" s="516"/>
      <c r="N5" s="526" t="s">
        <v>11</v>
      </c>
      <c r="O5" s="527"/>
      <c r="P5" s="527"/>
      <c r="Q5" s="527"/>
      <c r="R5" s="528"/>
    </row>
    <row r="6" spans="1:18" ht="63" customHeight="1" x14ac:dyDescent="0.2">
      <c r="A6" s="514"/>
      <c r="B6" s="514"/>
      <c r="C6" s="514"/>
      <c r="D6" s="514"/>
      <c r="E6" s="514"/>
      <c r="F6" s="514"/>
      <c r="G6" s="514"/>
      <c r="H6" s="514"/>
      <c r="I6" s="514"/>
      <c r="J6" s="4" t="s">
        <v>12</v>
      </c>
      <c r="K6" s="4" t="s">
        <v>13</v>
      </c>
      <c r="L6" s="4" t="s">
        <v>14</v>
      </c>
      <c r="M6" s="4" t="s">
        <v>15</v>
      </c>
      <c r="N6" s="5" t="s">
        <v>16</v>
      </c>
      <c r="O6" s="5" t="s">
        <v>17</v>
      </c>
      <c r="P6" s="5" t="s">
        <v>18</v>
      </c>
      <c r="Q6" s="5" t="s">
        <v>19</v>
      </c>
      <c r="R6" s="5" t="s">
        <v>20</v>
      </c>
    </row>
    <row r="7" spans="1:18" ht="66" customHeight="1" x14ac:dyDescent="0.2">
      <c r="A7" s="501" t="s">
        <v>21</v>
      </c>
      <c r="B7" s="501" t="s">
        <v>22</v>
      </c>
      <c r="C7" s="501" t="s">
        <v>23</v>
      </c>
      <c r="D7" s="507" t="s">
        <v>24</v>
      </c>
      <c r="E7" s="510">
        <v>0.4</v>
      </c>
      <c r="F7" s="38" t="s">
        <v>25</v>
      </c>
      <c r="G7" s="6" t="s">
        <v>26</v>
      </c>
      <c r="I7" s="507" t="s">
        <v>27</v>
      </c>
      <c r="J7" s="41"/>
      <c r="K7" s="41"/>
      <c r="L7" s="42"/>
      <c r="M7" s="43"/>
      <c r="N7" s="9" t="str">
        <f>IFERROR((J7*100%)/#REF!,"-")</f>
        <v>-</v>
      </c>
      <c r="O7" s="9">
        <v>0.85</v>
      </c>
      <c r="P7" s="9" t="str">
        <f>IFERROR((L7*100%)/#REF!,"-")</f>
        <v>-</v>
      </c>
      <c r="Q7" s="9" t="str">
        <f>IFERROR((M7*100%)/#REF!,"-")</f>
        <v>-</v>
      </c>
      <c r="R7" s="9">
        <f>IFERROR(AVERAGE(N7:Q7),"-")</f>
        <v>0.85</v>
      </c>
    </row>
    <row r="8" spans="1:18" ht="66" customHeight="1" x14ac:dyDescent="0.2">
      <c r="A8" s="502"/>
      <c r="B8" s="502"/>
      <c r="C8" s="502"/>
      <c r="D8" s="508"/>
      <c r="E8" s="511"/>
      <c r="F8" s="38" t="s">
        <v>28</v>
      </c>
      <c r="G8" s="6" t="s">
        <v>29</v>
      </c>
      <c r="I8" s="508"/>
      <c r="J8" s="7"/>
      <c r="K8" s="7"/>
      <c r="L8" s="8"/>
      <c r="M8" s="10"/>
      <c r="N8" s="9" t="str">
        <f>IFERROR((J8*100%)/#REF!,"-")</f>
        <v>-</v>
      </c>
      <c r="O8" s="9" t="str">
        <f>IFERROR((K8*100%)/#REF!,"-")</f>
        <v>-</v>
      </c>
      <c r="P8" s="9" t="str">
        <f>IFERROR((L8*100%)/#REF!,"-")</f>
        <v>-</v>
      </c>
      <c r="Q8" s="9" t="str">
        <f>IFERROR((M8*100%)/#REF!,"-")</f>
        <v>-</v>
      </c>
      <c r="R8" s="9" t="str">
        <f t="shared" ref="R8:R68" si="0">IFERROR(AVERAGE(N8:Q8),"-")</f>
        <v>-</v>
      </c>
    </row>
    <row r="9" spans="1:18" ht="66" customHeight="1" x14ac:dyDescent="0.2">
      <c r="A9" s="502"/>
      <c r="B9" s="502"/>
      <c r="C9" s="502"/>
      <c r="D9" s="508"/>
      <c r="E9" s="511"/>
      <c r="F9" s="38" t="s">
        <v>30</v>
      </c>
      <c r="G9" s="6" t="s">
        <v>31</v>
      </c>
      <c r="I9" s="508"/>
      <c r="J9" s="7"/>
      <c r="K9" s="7"/>
      <c r="L9" s="8"/>
      <c r="M9" s="10"/>
      <c r="N9" s="9" t="str">
        <f>IFERROR((J9*100%)/#REF!,"-")</f>
        <v>-</v>
      </c>
      <c r="O9" s="9" t="str">
        <f>IFERROR((K9*100%)/#REF!,"-")</f>
        <v>-</v>
      </c>
      <c r="P9" s="9" t="str">
        <f>IFERROR((L9*100%)/#REF!,"-")</f>
        <v>-</v>
      </c>
      <c r="Q9" s="9" t="str">
        <f>IFERROR((M9*100%)/#REF!,"-")</f>
        <v>-</v>
      </c>
      <c r="R9" s="9" t="str">
        <f t="shared" si="0"/>
        <v>-</v>
      </c>
    </row>
    <row r="10" spans="1:18" ht="66" customHeight="1" x14ac:dyDescent="0.2">
      <c r="A10" s="503"/>
      <c r="B10" s="503"/>
      <c r="C10" s="503"/>
      <c r="D10" s="509"/>
      <c r="E10" s="512"/>
      <c r="F10" s="38" t="s">
        <v>32</v>
      </c>
      <c r="G10" s="6" t="s">
        <v>33</v>
      </c>
      <c r="I10" s="509"/>
      <c r="J10" s="7"/>
      <c r="K10" s="7"/>
      <c r="L10" s="8"/>
      <c r="M10" s="10"/>
      <c r="N10" s="9" t="str">
        <f>IFERROR((J10*100%)/#REF!,"-")</f>
        <v>-</v>
      </c>
      <c r="O10" s="9" t="str">
        <f>IFERROR((K10*100%)/#REF!,"-")</f>
        <v>-</v>
      </c>
      <c r="P10" s="9" t="str">
        <f>IFERROR((L10*100%)/#REF!,"-")</f>
        <v>-</v>
      </c>
      <c r="Q10" s="9" t="str">
        <f>IFERROR((M10*100%)/#REF!,"-")</f>
        <v>-</v>
      </c>
      <c r="R10" s="9" t="str">
        <f t="shared" si="0"/>
        <v>-</v>
      </c>
    </row>
    <row r="11" spans="1:18" ht="81" customHeight="1" x14ac:dyDescent="0.2">
      <c r="A11" s="507" t="s">
        <v>34</v>
      </c>
      <c r="B11" s="507" t="s">
        <v>35</v>
      </c>
      <c r="C11" s="507" t="s">
        <v>36</v>
      </c>
      <c r="D11" s="507" t="s">
        <v>37</v>
      </c>
      <c r="E11" s="510">
        <v>0.35</v>
      </c>
      <c r="F11" s="38" t="s">
        <v>38</v>
      </c>
      <c r="G11" s="6" t="s">
        <v>39</v>
      </c>
      <c r="H11" s="6">
        <v>1</v>
      </c>
      <c r="I11" s="507" t="s">
        <v>40</v>
      </c>
      <c r="J11" s="7"/>
      <c r="K11" s="7"/>
      <c r="L11" s="7"/>
      <c r="M11" s="7"/>
      <c r="N11" s="9">
        <f>IFERROR((J11*100%)/H11,"-")</f>
        <v>0</v>
      </c>
      <c r="O11" s="9">
        <f t="shared" ref="O11:O45" si="1">IFERROR((K11*100%)/H11,"-")</f>
        <v>0</v>
      </c>
      <c r="P11" s="9">
        <f t="shared" ref="P11:P45" si="2">IFERROR((L11*100%)/H11,"-")</f>
        <v>0</v>
      </c>
      <c r="Q11" s="9">
        <f t="shared" ref="Q11:Q42" si="3">IFERROR((M11*100%)/H11,"-")</f>
        <v>0</v>
      </c>
      <c r="R11" s="9">
        <f t="shared" si="0"/>
        <v>0</v>
      </c>
    </row>
    <row r="12" spans="1:18" ht="81" customHeight="1" x14ac:dyDescent="0.2">
      <c r="A12" s="508"/>
      <c r="B12" s="508"/>
      <c r="C12" s="508"/>
      <c r="D12" s="508"/>
      <c r="E12" s="511"/>
      <c r="F12" s="38" t="s">
        <v>41</v>
      </c>
      <c r="G12" s="6" t="s">
        <v>39</v>
      </c>
      <c r="H12" s="6">
        <v>1</v>
      </c>
      <c r="I12" s="508"/>
      <c r="J12" s="7"/>
      <c r="K12" s="7"/>
      <c r="L12" s="7"/>
      <c r="M12" s="7"/>
      <c r="N12" s="9">
        <f t="shared" ref="N12:N37" si="4">IFERROR((J12*100%)/H12,"-")</f>
        <v>0</v>
      </c>
      <c r="O12" s="9">
        <f t="shared" si="1"/>
        <v>0</v>
      </c>
      <c r="P12" s="9">
        <f t="shared" si="2"/>
        <v>0</v>
      </c>
      <c r="Q12" s="9">
        <f t="shared" si="3"/>
        <v>0</v>
      </c>
      <c r="R12" s="9">
        <f t="shared" si="0"/>
        <v>0</v>
      </c>
    </row>
    <row r="13" spans="1:18" ht="81" customHeight="1" x14ac:dyDescent="0.2">
      <c r="A13" s="508"/>
      <c r="B13" s="508"/>
      <c r="C13" s="508"/>
      <c r="D13" s="508"/>
      <c r="E13" s="511"/>
      <c r="F13" s="38" t="s">
        <v>42</v>
      </c>
      <c r="G13" s="6" t="s">
        <v>39</v>
      </c>
      <c r="H13" s="6">
        <v>1</v>
      </c>
      <c r="I13" s="508"/>
      <c r="J13" s="7"/>
      <c r="K13" s="7"/>
      <c r="L13" s="7"/>
      <c r="M13" s="7"/>
      <c r="N13" s="9">
        <f t="shared" si="4"/>
        <v>0</v>
      </c>
      <c r="O13" s="9">
        <f t="shared" si="1"/>
        <v>0</v>
      </c>
      <c r="P13" s="9">
        <f t="shared" si="2"/>
        <v>0</v>
      </c>
      <c r="Q13" s="9">
        <f t="shared" si="3"/>
        <v>0</v>
      </c>
      <c r="R13" s="9">
        <f t="shared" si="0"/>
        <v>0</v>
      </c>
    </row>
    <row r="14" spans="1:18" ht="81" customHeight="1" x14ac:dyDescent="0.2">
      <c r="A14" s="508"/>
      <c r="B14" s="508"/>
      <c r="C14" s="508"/>
      <c r="D14" s="508"/>
      <c r="E14" s="511"/>
      <c r="F14" s="38" t="s">
        <v>43</v>
      </c>
      <c r="G14" s="6" t="s">
        <v>39</v>
      </c>
      <c r="H14" s="6">
        <v>1</v>
      </c>
      <c r="I14" s="508"/>
      <c r="J14" s="7"/>
      <c r="K14" s="7"/>
      <c r="L14" s="7"/>
      <c r="M14" s="7"/>
      <c r="N14" s="9">
        <f t="shared" si="4"/>
        <v>0</v>
      </c>
      <c r="O14" s="9">
        <f t="shared" si="1"/>
        <v>0</v>
      </c>
      <c r="P14" s="9">
        <f t="shared" si="2"/>
        <v>0</v>
      </c>
      <c r="Q14" s="9">
        <f t="shared" si="3"/>
        <v>0</v>
      </c>
      <c r="R14" s="9">
        <f t="shared" si="0"/>
        <v>0</v>
      </c>
    </row>
    <row r="15" spans="1:18" ht="81" customHeight="1" x14ac:dyDescent="0.2">
      <c r="A15" s="508"/>
      <c r="B15" s="508"/>
      <c r="C15" s="508"/>
      <c r="D15" s="508"/>
      <c r="E15" s="511"/>
      <c r="F15" s="38" t="s">
        <v>44</v>
      </c>
      <c r="G15" s="6" t="s">
        <v>39</v>
      </c>
      <c r="H15" s="6">
        <v>1</v>
      </c>
      <c r="I15" s="508"/>
      <c r="J15" s="7"/>
      <c r="K15" s="7"/>
      <c r="L15" s="7"/>
      <c r="M15" s="7"/>
      <c r="N15" s="9">
        <f t="shared" si="4"/>
        <v>0</v>
      </c>
      <c r="O15" s="9">
        <f t="shared" si="1"/>
        <v>0</v>
      </c>
      <c r="P15" s="9">
        <f t="shared" si="2"/>
        <v>0</v>
      </c>
      <c r="Q15" s="9">
        <f t="shared" si="3"/>
        <v>0</v>
      </c>
      <c r="R15" s="9">
        <f t="shared" si="0"/>
        <v>0</v>
      </c>
    </row>
    <row r="16" spans="1:18" ht="81" customHeight="1" x14ac:dyDescent="0.2">
      <c r="A16" s="508"/>
      <c r="B16" s="508"/>
      <c r="C16" s="508"/>
      <c r="D16" s="508"/>
      <c r="E16" s="511"/>
      <c r="F16" s="38" t="s">
        <v>45</v>
      </c>
      <c r="G16" s="6" t="s">
        <v>39</v>
      </c>
      <c r="H16" s="6">
        <v>1</v>
      </c>
      <c r="I16" s="508"/>
      <c r="J16" s="7"/>
      <c r="K16" s="7"/>
      <c r="L16" s="7"/>
      <c r="M16" s="7"/>
      <c r="N16" s="9">
        <f t="shared" si="4"/>
        <v>0</v>
      </c>
      <c r="O16" s="9">
        <f t="shared" si="1"/>
        <v>0</v>
      </c>
      <c r="P16" s="9">
        <f t="shared" si="2"/>
        <v>0</v>
      </c>
      <c r="Q16" s="9">
        <f t="shared" si="3"/>
        <v>0</v>
      </c>
      <c r="R16" s="9">
        <f t="shared" si="0"/>
        <v>0</v>
      </c>
    </row>
    <row r="17" spans="1:18" ht="81" customHeight="1" x14ac:dyDescent="0.2">
      <c r="A17" s="508"/>
      <c r="B17" s="508"/>
      <c r="C17" s="508"/>
      <c r="D17" s="508"/>
      <c r="E17" s="511"/>
      <c r="F17" s="38" t="s">
        <v>46</v>
      </c>
      <c r="G17" s="6" t="s">
        <v>39</v>
      </c>
      <c r="H17" s="6">
        <v>1</v>
      </c>
      <c r="I17" s="508"/>
      <c r="J17" s="7"/>
      <c r="K17" s="7"/>
      <c r="L17" s="7"/>
      <c r="M17" s="7"/>
      <c r="N17" s="9">
        <f t="shared" si="4"/>
        <v>0</v>
      </c>
      <c r="O17" s="9">
        <f t="shared" si="1"/>
        <v>0</v>
      </c>
      <c r="P17" s="9">
        <f t="shared" si="2"/>
        <v>0</v>
      </c>
      <c r="Q17" s="9">
        <f t="shared" si="3"/>
        <v>0</v>
      </c>
      <c r="R17" s="9">
        <f t="shared" si="0"/>
        <v>0</v>
      </c>
    </row>
    <row r="18" spans="1:18" ht="81" customHeight="1" x14ac:dyDescent="0.2">
      <c r="A18" s="509"/>
      <c r="B18" s="509"/>
      <c r="C18" s="509"/>
      <c r="D18" s="509"/>
      <c r="E18" s="512"/>
      <c r="F18" s="6" t="s">
        <v>47</v>
      </c>
      <c r="G18" s="6" t="s">
        <v>39</v>
      </c>
      <c r="H18" s="6">
        <v>1</v>
      </c>
      <c r="I18" s="509"/>
      <c r="J18" s="7"/>
      <c r="K18" s="7"/>
      <c r="L18" s="7"/>
      <c r="M18" s="7"/>
      <c r="N18" s="9">
        <f t="shared" si="4"/>
        <v>0</v>
      </c>
      <c r="O18" s="9">
        <f t="shared" si="1"/>
        <v>0</v>
      </c>
      <c r="P18" s="9">
        <f t="shared" si="2"/>
        <v>0</v>
      </c>
      <c r="Q18" s="9">
        <f t="shared" si="3"/>
        <v>0</v>
      </c>
      <c r="R18" s="9">
        <f t="shared" si="0"/>
        <v>0</v>
      </c>
    </row>
    <row r="19" spans="1:18" ht="56.25" customHeight="1" x14ac:dyDescent="0.2">
      <c r="A19" s="501" t="s">
        <v>48</v>
      </c>
      <c r="B19" s="507" t="s">
        <v>49</v>
      </c>
      <c r="C19" s="507" t="s">
        <v>50</v>
      </c>
      <c r="D19" s="11" t="s">
        <v>51</v>
      </c>
      <c r="E19" s="11" t="s">
        <v>52</v>
      </c>
      <c r="F19" s="11"/>
      <c r="G19" s="11"/>
      <c r="H19" s="6"/>
      <c r="I19" s="11"/>
      <c r="J19" s="7"/>
      <c r="K19" s="7"/>
      <c r="L19" s="7"/>
      <c r="M19" s="10"/>
      <c r="N19" s="37" t="str">
        <f t="shared" si="4"/>
        <v>-</v>
      </c>
      <c r="O19" s="37" t="str">
        <f t="shared" si="1"/>
        <v>-</v>
      </c>
      <c r="P19" s="37" t="str">
        <f t="shared" si="2"/>
        <v>-</v>
      </c>
      <c r="Q19" s="37" t="str">
        <f t="shared" si="3"/>
        <v>-</v>
      </c>
      <c r="R19" s="37" t="str">
        <f t="shared" si="0"/>
        <v>-</v>
      </c>
    </row>
    <row r="20" spans="1:18" ht="51.75" customHeight="1" x14ac:dyDescent="0.2">
      <c r="A20" s="503"/>
      <c r="B20" s="509"/>
      <c r="C20" s="509"/>
      <c r="D20" s="11" t="s">
        <v>53</v>
      </c>
      <c r="E20" s="6">
        <v>0.65</v>
      </c>
      <c r="F20" s="11"/>
      <c r="G20" s="11"/>
      <c r="H20" s="6"/>
      <c r="I20" s="11" t="s">
        <v>54</v>
      </c>
      <c r="J20" s="7"/>
      <c r="K20" s="7"/>
      <c r="L20" s="7"/>
      <c r="M20" s="10"/>
      <c r="N20" s="37" t="str">
        <f t="shared" si="4"/>
        <v>-</v>
      </c>
      <c r="O20" s="37" t="str">
        <f t="shared" si="1"/>
        <v>-</v>
      </c>
      <c r="P20" s="37" t="str">
        <f t="shared" si="2"/>
        <v>-</v>
      </c>
      <c r="Q20" s="37" t="str">
        <f t="shared" si="3"/>
        <v>-</v>
      </c>
      <c r="R20" s="37" t="str">
        <f t="shared" si="0"/>
        <v>-</v>
      </c>
    </row>
    <row r="21" spans="1:18" ht="51" x14ac:dyDescent="0.2">
      <c r="A21" s="507" t="s">
        <v>55</v>
      </c>
      <c r="B21" s="507" t="s">
        <v>56</v>
      </c>
      <c r="C21" s="507" t="s">
        <v>57</v>
      </c>
      <c r="D21" s="507" t="s">
        <v>58</v>
      </c>
      <c r="E21" s="510">
        <v>0.4</v>
      </c>
      <c r="F21" s="11" t="s">
        <v>59</v>
      </c>
      <c r="G21" s="6" t="s">
        <v>211</v>
      </c>
      <c r="H21" s="6">
        <v>1</v>
      </c>
      <c r="I21" s="507" t="s">
        <v>40</v>
      </c>
      <c r="J21" s="10"/>
      <c r="K21" s="10"/>
      <c r="L21" s="10"/>
      <c r="M21" s="10"/>
      <c r="N21" s="9">
        <f t="shared" si="4"/>
        <v>0</v>
      </c>
      <c r="O21" s="9">
        <f t="shared" si="1"/>
        <v>0</v>
      </c>
      <c r="P21" s="9">
        <f t="shared" si="2"/>
        <v>0</v>
      </c>
      <c r="Q21" s="9">
        <f t="shared" si="3"/>
        <v>0</v>
      </c>
      <c r="R21" s="9">
        <f t="shared" si="0"/>
        <v>0</v>
      </c>
    </row>
    <row r="22" spans="1:18" ht="51" x14ac:dyDescent="0.2">
      <c r="A22" s="508"/>
      <c r="B22" s="508"/>
      <c r="C22" s="508"/>
      <c r="D22" s="508"/>
      <c r="E22" s="511"/>
      <c r="F22" s="11" t="s">
        <v>60</v>
      </c>
      <c r="G22" s="6" t="s">
        <v>211</v>
      </c>
      <c r="H22" s="6">
        <v>1</v>
      </c>
      <c r="I22" s="508"/>
      <c r="J22" s="10"/>
      <c r="K22" s="10"/>
      <c r="L22" s="10"/>
      <c r="M22" s="10"/>
      <c r="N22" s="9">
        <f t="shared" si="4"/>
        <v>0</v>
      </c>
      <c r="O22" s="9">
        <f t="shared" si="1"/>
        <v>0</v>
      </c>
      <c r="P22" s="9">
        <f t="shared" si="2"/>
        <v>0</v>
      </c>
      <c r="Q22" s="9">
        <f t="shared" si="3"/>
        <v>0</v>
      </c>
      <c r="R22" s="9">
        <f t="shared" si="0"/>
        <v>0</v>
      </c>
    </row>
    <row r="23" spans="1:18" ht="51" x14ac:dyDescent="0.2">
      <c r="A23" s="508"/>
      <c r="B23" s="508"/>
      <c r="C23" s="508"/>
      <c r="D23" s="508"/>
      <c r="E23" s="511"/>
      <c r="F23" s="11" t="s">
        <v>61</v>
      </c>
      <c r="G23" s="6" t="s">
        <v>211</v>
      </c>
      <c r="H23" s="6">
        <v>1</v>
      </c>
      <c r="I23" s="508"/>
      <c r="J23" s="10"/>
      <c r="K23" s="10"/>
      <c r="L23" s="10"/>
      <c r="M23" s="10"/>
      <c r="N23" s="9">
        <f t="shared" si="4"/>
        <v>0</v>
      </c>
      <c r="O23" s="9">
        <f t="shared" si="1"/>
        <v>0</v>
      </c>
      <c r="P23" s="9">
        <f t="shared" si="2"/>
        <v>0</v>
      </c>
      <c r="Q23" s="9">
        <f t="shared" si="3"/>
        <v>0</v>
      </c>
      <c r="R23" s="9">
        <f t="shared" si="0"/>
        <v>0</v>
      </c>
    </row>
    <row r="24" spans="1:18" ht="51" x14ac:dyDescent="0.2">
      <c r="A24" s="508"/>
      <c r="B24" s="508"/>
      <c r="C24" s="508"/>
      <c r="D24" s="508"/>
      <c r="E24" s="511"/>
      <c r="F24" s="11" t="s">
        <v>62</v>
      </c>
      <c r="G24" s="6" t="s">
        <v>211</v>
      </c>
      <c r="H24" s="6">
        <v>1</v>
      </c>
      <c r="I24" s="508"/>
      <c r="J24" s="10"/>
      <c r="K24" s="10"/>
      <c r="L24" s="10"/>
      <c r="M24" s="10"/>
      <c r="N24" s="9">
        <f t="shared" si="4"/>
        <v>0</v>
      </c>
      <c r="O24" s="9">
        <f t="shared" si="1"/>
        <v>0</v>
      </c>
      <c r="P24" s="9">
        <f t="shared" si="2"/>
        <v>0</v>
      </c>
      <c r="Q24" s="9">
        <f t="shared" si="3"/>
        <v>0</v>
      </c>
      <c r="R24" s="9">
        <f t="shared" si="0"/>
        <v>0</v>
      </c>
    </row>
    <row r="25" spans="1:18" ht="51" x14ac:dyDescent="0.2">
      <c r="A25" s="508"/>
      <c r="B25" s="508"/>
      <c r="C25" s="508"/>
      <c r="D25" s="508"/>
      <c r="E25" s="511"/>
      <c r="F25" s="11" t="s">
        <v>63</v>
      </c>
      <c r="G25" s="6" t="s">
        <v>211</v>
      </c>
      <c r="H25" s="6">
        <v>1</v>
      </c>
      <c r="I25" s="508"/>
      <c r="J25" s="10"/>
      <c r="K25" s="10"/>
      <c r="L25" s="10"/>
      <c r="M25" s="10"/>
      <c r="N25" s="9">
        <f t="shared" si="4"/>
        <v>0</v>
      </c>
      <c r="O25" s="9">
        <f t="shared" si="1"/>
        <v>0</v>
      </c>
      <c r="P25" s="9">
        <f t="shared" si="2"/>
        <v>0</v>
      </c>
      <c r="Q25" s="9">
        <f t="shared" si="3"/>
        <v>0</v>
      </c>
      <c r="R25" s="9">
        <f t="shared" si="0"/>
        <v>0</v>
      </c>
    </row>
    <row r="26" spans="1:18" ht="51" x14ac:dyDescent="0.2">
      <c r="A26" s="508"/>
      <c r="B26" s="508"/>
      <c r="C26" s="508"/>
      <c r="D26" s="508"/>
      <c r="E26" s="511"/>
      <c r="F26" s="11" t="s">
        <v>64</v>
      </c>
      <c r="G26" s="6" t="s">
        <v>211</v>
      </c>
      <c r="H26" s="6">
        <v>1</v>
      </c>
      <c r="I26" s="508"/>
      <c r="J26" s="10"/>
      <c r="K26" s="10"/>
      <c r="L26" s="10"/>
      <c r="M26" s="10"/>
      <c r="N26" s="9">
        <f t="shared" si="4"/>
        <v>0</v>
      </c>
      <c r="O26" s="9">
        <f t="shared" si="1"/>
        <v>0</v>
      </c>
      <c r="P26" s="9">
        <f t="shared" si="2"/>
        <v>0</v>
      </c>
      <c r="Q26" s="9">
        <f t="shared" si="3"/>
        <v>0</v>
      </c>
      <c r="R26" s="9">
        <f t="shared" si="0"/>
        <v>0</v>
      </c>
    </row>
    <row r="27" spans="1:18" ht="51" x14ac:dyDescent="0.2">
      <c r="A27" s="508"/>
      <c r="B27" s="508"/>
      <c r="C27" s="508"/>
      <c r="D27" s="508"/>
      <c r="E27" s="511"/>
      <c r="F27" s="11" t="s">
        <v>65</v>
      </c>
      <c r="G27" s="6" t="s">
        <v>211</v>
      </c>
      <c r="H27" s="6">
        <v>1</v>
      </c>
      <c r="I27" s="508"/>
      <c r="J27" s="10"/>
      <c r="K27" s="10"/>
      <c r="L27" s="10"/>
      <c r="M27" s="10"/>
      <c r="N27" s="9">
        <f t="shared" si="4"/>
        <v>0</v>
      </c>
      <c r="O27" s="9">
        <f t="shared" si="1"/>
        <v>0</v>
      </c>
      <c r="P27" s="9">
        <f t="shared" si="2"/>
        <v>0</v>
      </c>
      <c r="Q27" s="9">
        <f t="shared" si="3"/>
        <v>0</v>
      </c>
      <c r="R27" s="9">
        <f t="shared" si="0"/>
        <v>0</v>
      </c>
    </row>
    <row r="28" spans="1:18" ht="51" x14ac:dyDescent="0.2">
      <c r="A28" s="508"/>
      <c r="B28" s="508"/>
      <c r="C28" s="508"/>
      <c r="D28" s="508"/>
      <c r="E28" s="511"/>
      <c r="F28" s="11" t="s">
        <v>66</v>
      </c>
      <c r="G28" s="6" t="s">
        <v>211</v>
      </c>
      <c r="H28" s="6">
        <v>1</v>
      </c>
      <c r="I28" s="508"/>
      <c r="J28" s="10"/>
      <c r="K28" s="10"/>
      <c r="L28" s="10"/>
      <c r="M28" s="10"/>
      <c r="N28" s="9">
        <f t="shared" si="4"/>
        <v>0</v>
      </c>
      <c r="O28" s="9">
        <f t="shared" si="1"/>
        <v>0</v>
      </c>
      <c r="P28" s="9">
        <f t="shared" si="2"/>
        <v>0</v>
      </c>
      <c r="Q28" s="9">
        <f t="shared" si="3"/>
        <v>0</v>
      </c>
      <c r="R28" s="9">
        <f t="shared" si="0"/>
        <v>0</v>
      </c>
    </row>
    <row r="29" spans="1:18" ht="51" x14ac:dyDescent="0.2">
      <c r="A29" s="508"/>
      <c r="B29" s="508"/>
      <c r="C29" s="508"/>
      <c r="D29" s="508"/>
      <c r="E29" s="511"/>
      <c r="F29" s="11" t="s">
        <v>67</v>
      </c>
      <c r="G29" s="6" t="s">
        <v>211</v>
      </c>
      <c r="H29" s="6">
        <v>1</v>
      </c>
      <c r="I29" s="508"/>
      <c r="J29" s="10"/>
      <c r="K29" s="10"/>
      <c r="L29" s="10"/>
      <c r="M29" s="10"/>
      <c r="N29" s="9">
        <f t="shared" si="4"/>
        <v>0</v>
      </c>
      <c r="O29" s="9">
        <f t="shared" si="1"/>
        <v>0</v>
      </c>
      <c r="P29" s="9">
        <f t="shared" si="2"/>
        <v>0</v>
      </c>
      <c r="Q29" s="9">
        <f t="shared" si="3"/>
        <v>0</v>
      </c>
      <c r="R29" s="9">
        <f t="shared" si="0"/>
        <v>0</v>
      </c>
    </row>
    <row r="30" spans="1:18" ht="51" x14ac:dyDescent="0.2">
      <c r="A30" s="508"/>
      <c r="B30" s="508"/>
      <c r="C30" s="508"/>
      <c r="D30" s="508"/>
      <c r="E30" s="511"/>
      <c r="F30" s="11" t="s">
        <v>68</v>
      </c>
      <c r="G30" s="6" t="s">
        <v>211</v>
      </c>
      <c r="H30" s="6">
        <v>1</v>
      </c>
      <c r="I30" s="508"/>
      <c r="J30" s="10"/>
      <c r="K30" s="10"/>
      <c r="L30" s="10"/>
      <c r="M30" s="10"/>
      <c r="N30" s="9">
        <f t="shared" si="4"/>
        <v>0</v>
      </c>
      <c r="O30" s="9">
        <f t="shared" si="1"/>
        <v>0</v>
      </c>
      <c r="P30" s="9">
        <f t="shared" si="2"/>
        <v>0</v>
      </c>
      <c r="Q30" s="9">
        <f t="shared" si="3"/>
        <v>0</v>
      </c>
      <c r="R30" s="9">
        <f t="shared" si="0"/>
        <v>0</v>
      </c>
    </row>
    <row r="31" spans="1:18" ht="51" x14ac:dyDescent="0.2">
      <c r="A31" s="508"/>
      <c r="B31" s="508"/>
      <c r="C31" s="508"/>
      <c r="D31" s="508"/>
      <c r="E31" s="511"/>
      <c r="F31" s="11" t="s">
        <v>69</v>
      </c>
      <c r="G31" s="6" t="s">
        <v>211</v>
      </c>
      <c r="H31" s="6">
        <v>1</v>
      </c>
      <c r="I31" s="508"/>
      <c r="J31" s="10"/>
      <c r="K31" s="10"/>
      <c r="L31" s="10"/>
      <c r="M31" s="10"/>
      <c r="N31" s="9">
        <f t="shared" si="4"/>
        <v>0</v>
      </c>
      <c r="O31" s="9">
        <f t="shared" si="1"/>
        <v>0</v>
      </c>
      <c r="P31" s="9">
        <f t="shared" si="2"/>
        <v>0</v>
      </c>
      <c r="Q31" s="9">
        <f t="shared" si="3"/>
        <v>0</v>
      </c>
      <c r="R31" s="9">
        <f t="shared" si="0"/>
        <v>0</v>
      </c>
    </row>
    <row r="32" spans="1:18" ht="51" x14ac:dyDescent="0.2">
      <c r="A32" s="508"/>
      <c r="B32" s="508"/>
      <c r="C32" s="508"/>
      <c r="D32" s="508"/>
      <c r="E32" s="511"/>
      <c r="F32" s="11" t="s">
        <v>70</v>
      </c>
      <c r="G32" s="6" t="s">
        <v>211</v>
      </c>
      <c r="H32" s="6">
        <v>1</v>
      </c>
      <c r="I32" s="508"/>
      <c r="J32" s="10"/>
      <c r="K32" s="10"/>
      <c r="L32" s="10"/>
      <c r="M32" s="10"/>
      <c r="N32" s="9">
        <f t="shared" si="4"/>
        <v>0</v>
      </c>
      <c r="O32" s="9">
        <f t="shared" si="1"/>
        <v>0</v>
      </c>
      <c r="P32" s="9">
        <f t="shared" si="2"/>
        <v>0</v>
      </c>
      <c r="Q32" s="9">
        <f t="shared" si="3"/>
        <v>0</v>
      </c>
      <c r="R32" s="9">
        <f t="shared" si="0"/>
        <v>0</v>
      </c>
    </row>
    <row r="33" spans="1:18" ht="51" x14ac:dyDescent="0.2">
      <c r="A33" s="508"/>
      <c r="B33" s="508"/>
      <c r="C33" s="508"/>
      <c r="D33" s="508"/>
      <c r="E33" s="511"/>
      <c r="F33" s="11" t="s">
        <v>71</v>
      </c>
      <c r="G33" s="6" t="s">
        <v>211</v>
      </c>
      <c r="H33" s="6">
        <v>1</v>
      </c>
      <c r="I33" s="508"/>
      <c r="J33" s="10"/>
      <c r="K33" s="10"/>
      <c r="L33" s="10"/>
      <c r="M33" s="10"/>
      <c r="N33" s="9">
        <f t="shared" si="4"/>
        <v>0</v>
      </c>
      <c r="O33" s="9">
        <f t="shared" si="1"/>
        <v>0</v>
      </c>
      <c r="P33" s="9">
        <f t="shared" si="2"/>
        <v>0</v>
      </c>
      <c r="Q33" s="9">
        <f t="shared" si="3"/>
        <v>0</v>
      </c>
      <c r="R33" s="9">
        <f t="shared" si="0"/>
        <v>0</v>
      </c>
    </row>
    <row r="34" spans="1:18" ht="51" x14ac:dyDescent="0.2">
      <c r="A34" s="508"/>
      <c r="B34" s="508"/>
      <c r="C34" s="508"/>
      <c r="D34" s="508"/>
      <c r="E34" s="511"/>
      <c r="F34" s="11" t="s">
        <v>72</v>
      </c>
      <c r="G34" s="6" t="s">
        <v>211</v>
      </c>
      <c r="H34" s="6">
        <v>1</v>
      </c>
      <c r="I34" s="508"/>
      <c r="J34" s="10"/>
      <c r="K34" s="10"/>
      <c r="L34" s="10"/>
      <c r="M34" s="10"/>
      <c r="N34" s="9">
        <f t="shared" si="4"/>
        <v>0</v>
      </c>
      <c r="O34" s="9">
        <f t="shared" si="1"/>
        <v>0</v>
      </c>
      <c r="P34" s="9">
        <f t="shared" si="2"/>
        <v>0</v>
      </c>
      <c r="Q34" s="9">
        <f t="shared" si="3"/>
        <v>0</v>
      </c>
      <c r="R34" s="9">
        <f t="shared" si="0"/>
        <v>0</v>
      </c>
    </row>
    <row r="35" spans="1:18" ht="51" x14ac:dyDescent="0.2">
      <c r="A35" s="508"/>
      <c r="B35" s="508"/>
      <c r="C35" s="508"/>
      <c r="D35" s="508"/>
      <c r="E35" s="511"/>
      <c r="F35" s="11" t="s">
        <v>73</v>
      </c>
      <c r="G35" s="6" t="s">
        <v>211</v>
      </c>
      <c r="H35" s="6">
        <v>1</v>
      </c>
      <c r="I35" s="508"/>
      <c r="J35" s="10"/>
      <c r="K35" s="10"/>
      <c r="L35" s="10"/>
      <c r="M35" s="10"/>
      <c r="N35" s="9">
        <f t="shared" si="4"/>
        <v>0</v>
      </c>
      <c r="O35" s="9">
        <f t="shared" si="1"/>
        <v>0</v>
      </c>
      <c r="P35" s="9">
        <f t="shared" si="2"/>
        <v>0</v>
      </c>
      <c r="Q35" s="9">
        <f t="shared" si="3"/>
        <v>0</v>
      </c>
      <c r="R35" s="9">
        <f t="shared" si="0"/>
        <v>0</v>
      </c>
    </row>
    <row r="36" spans="1:18" ht="51" x14ac:dyDescent="0.2">
      <c r="A36" s="508"/>
      <c r="B36" s="508"/>
      <c r="C36" s="508"/>
      <c r="D36" s="508"/>
      <c r="E36" s="511"/>
      <c r="F36" s="11" t="s">
        <v>74</v>
      </c>
      <c r="G36" s="6" t="s">
        <v>211</v>
      </c>
      <c r="H36" s="6">
        <v>1</v>
      </c>
      <c r="I36" s="508"/>
      <c r="J36" s="10"/>
      <c r="K36" s="10"/>
      <c r="L36" s="10"/>
      <c r="M36" s="10"/>
      <c r="N36" s="9">
        <f t="shared" si="4"/>
        <v>0</v>
      </c>
      <c r="O36" s="9">
        <f t="shared" si="1"/>
        <v>0</v>
      </c>
      <c r="P36" s="9">
        <f t="shared" si="2"/>
        <v>0</v>
      </c>
      <c r="Q36" s="9">
        <f t="shared" si="3"/>
        <v>0</v>
      </c>
      <c r="R36" s="9">
        <f t="shared" si="0"/>
        <v>0</v>
      </c>
    </row>
    <row r="37" spans="1:18" ht="51" x14ac:dyDescent="0.2">
      <c r="A37" s="509"/>
      <c r="B37" s="509"/>
      <c r="C37" s="509"/>
      <c r="D37" s="509"/>
      <c r="E37" s="512"/>
      <c r="F37" s="11" t="s">
        <v>75</v>
      </c>
      <c r="G37" s="6" t="s">
        <v>211</v>
      </c>
      <c r="H37" s="6">
        <v>1</v>
      </c>
      <c r="I37" s="509"/>
      <c r="J37" s="10"/>
      <c r="K37" s="10"/>
      <c r="L37" s="10"/>
      <c r="M37" s="10"/>
      <c r="N37" s="9">
        <f t="shared" si="4"/>
        <v>0</v>
      </c>
      <c r="O37" s="9">
        <f t="shared" si="1"/>
        <v>0</v>
      </c>
      <c r="P37" s="9">
        <f t="shared" si="2"/>
        <v>0</v>
      </c>
      <c r="Q37" s="9">
        <f t="shared" si="3"/>
        <v>0</v>
      </c>
      <c r="R37" s="9">
        <f t="shared" si="0"/>
        <v>0</v>
      </c>
    </row>
    <row r="38" spans="1:18" ht="66.75" customHeight="1" x14ac:dyDescent="0.2">
      <c r="A38" s="501" t="s">
        <v>76</v>
      </c>
      <c r="B38" s="501" t="s">
        <v>77</v>
      </c>
      <c r="C38" s="12" t="s">
        <v>78</v>
      </c>
      <c r="D38" s="11" t="s">
        <v>79</v>
      </c>
      <c r="E38" s="6">
        <v>0.85</v>
      </c>
      <c r="F38" s="11" t="s">
        <v>80</v>
      </c>
      <c r="G38" s="39" t="s">
        <v>39</v>
      </c>
      <c r="H38" s="6">
        <v>1</v>
      </c>
      <c r="I38" s="11" t="s">
        <v>81</v>
      </c>
      <c r="J38" s="7"/>
      <c r="K38" s="7"/>
      <c r="L38" s="13"/>
      <c r="M38" s="10"/>
      <c r="N38" s="9">
        <f>IFERROR((J38*100%)/H38,"-")</f>
        <v>0</v>
      </c>
      <c r="O38" s="9">
        <f t="shared" si="1"/>
        <v>0</v>
      </c>
      <c r="P38" s="9">
        <f t="shared" si="2"/>
        <v>0</v>
      </c>
      <c r="Q38" s="9">
        <f t="shared" si="3"/>
        <v>0</v>
      </c>
      <c r="R38" s="9">
        <f t="shared" si="0"/>
        <v>0</v>
      </c>
    </row>
    <row r="39" spans="1:18" ht="53.25" customHeight="1" x14ac:dyDescent="0.2">
      <c r="A39" s="502"/>
      <c r="B39" s="502"/>
      <c r="C39" s="12" t="s">
        <v>82</v>
      </c>
      <c r="D39" s="11" t="s">
        <v>83</v>
      </c>
      <c r="E39" s="6">
        <v>0.75</v>
      </c>
      <c r="F39" s="11" t="s">
        <v>84</v>
      </c>
      <c r="G39" s="39" t="s">
        <v>39</v>
      </c>
      <c r="H39" s="6">
        <v>0.75</v>
      </c>
      <c r="I39" s="11" t="s">
        <v>81</v>
      </c>
      <c r="J39" s="7"/>
      <c r="K39" s="7"/>
      <c r="L39" s="13"/>
      <c r="M39" s="10"/>
      <c r="N39" s="9">
        <f t="shared" ref="N39:N42" si="5">IFERROR((J39*100%)/H39,"-")</f>
        <v>0</v>
      </c>
      <c r="O39" s="9">
        <f t="shared" si="1"/>
        <v>0</v>
      </c>
      <c r="P39" s="9">
        <f t="shared" si="2"/>
        <v>0</v>
      </c>
      <c r="Q39" s="9">
        <f t="shared" si="3"/>
        <v>0</v>
      </c>
      <c r="R39" s="9">
        <f t="shared" si="0"/>
        <v>0</v>
      </c>
    </row>
    <row r="40" spans="1:18" ht="75" customHeight="1" x14ac:dyDescent="0.2">
      <c r="A40" s="502"/>
      <c r="B40" s="502"/>
      <c r="C40" s="507" t="s">
        <v>85</v>
      </c>
      <c r="D40" s="507" t="s">
        <v>86</v>
      </c>
      <c r="E40" s="510">
        <v>0.4</v>
      </c>
      <c r="F40" s="14" t="s">
        <v>87</v>
      </c>
      <c r="G40" s="39" t="s">
        <v>88</v>
      </c>
      <c r="H40" s="6"/>
      <c r="I40" s="507" t="s">
        <v>89</v>
      </c>
      <c r="J40" s="7"/>
      <c r="K40" s="7"/>
      <c r="L40" s="7"/>
      <c r="M40" s="10"/>
      <c r="N40" s="37" t="str">
        <f t="shared" si="5"/>
        <v>-</v>
      </c>
      <c r="O40" s="37" t="str">
        <f t="shared" si="1"/>
        <v>-</v>
      </c>
      <c r="P40" s="37" t="str">
        <f t="shared" si="2"/>
        <v>-</v>
      </c>
      <c r="Q40" s="37" t="str">
        <f t="shared" si="3"/>
        <v>-</v>
      </c>
      <c r="R40" s="37" t="str">
        <f t="shared" si="0"/>
        <v>-</v>
      </c>
    </row>
    <row r="41" spans="1:18" ht="70.5" customHeight="1" x14ac:dyDescent="0.2">
      <c r="A41" s="502"/>
      <c r="B41" s="502"/>
      <c r="C41" s="508"/>
      <c r="D41" s="508"/>
      <c r="E41" s="511"/>
      <c r="F41" s="11" t="s">
        <v>90</v>
      </c>
      <c r="G41" s="11" t="s">
        <v>91</v>
      </c>
      <c r="H41" s="6"/>
      <c r="I41" s="508"/>
      <c r="J41" s="7"/>
      <c r="K41" s="7"/>
      <c r="L41" s="7"/>
      <c r="M41" s="10"/>
      <c r="N41" s="37" t="str">
        <f t="shared" si="5"/>
        <v>-</v>
      </c>
      <c r="O41" s="37" t="str">
        <f t="shared" si="1"/>
        <v>-</v>
      </c>
      <c r="P41" s="37" t="str">
        <f t="shared" si="2"/>
        <v>-</v>
      </c>
      <c r="Q41" s="37" t="str">
        <f t="shared" si="3"/>
        <v>-</v>
      </c>
      <c r="R41" s="37" t="str">
        <f t="shared" si="0"/>
        <v>-</v>
      </c>
    </row>
    <row r="42" spans="1:18" ht="74.25" customHeight="1" x14ac:dyDescent="0.2">
      <c r="A42" s="502"/>
      <c r="B42" s="502"/>
      <c r="C42" s="509"/>
      <c r="D42" s="509"/>
      <c r="E42" s="512"/>
      <c r="F42" s="11" t="s">
        <v>92</v>
      </c>
      <c r="G42" s="11" t="s">
        <v>93</v>
      </c>
      <c r="H42" s="6"/>
      <c r="I42" s="509"/>
      <c r="J42" s="7"/>
      <c r="K42" s="7"/>
      <c r="L42" s="7"/>
      <c r="M42" s="10"/>
      <c r="N42" s="37" t="str">
        <f t="shared" si="5"/>
        <v>-</v>
      </c>
      <c r="O42" s="37" t="str">
        <f t="shared" si="1"/>
        <v>-</v>
      </c>
      <c r="P42" s="37" t="str">
        <f t="shared" si="2"/>
        <v>-</v>
      </c>
      <c r="Q42" s="37" t="str">
        <f t="shared" si="3"/>
        <v>-</v>
      </c>
      <c r="R42" s="37" t="str">
        <f t="shared" si="0"/>
        <v>-</v>
      </c>
    </row>
    <row r="43" spans="1:18" ht="39" customHeight="1" x14ac:dyDescent="0.2">
      <c r="A43" s="503"/>
      <c r="B43" s="503"/>
      <c r="C43" s="12" t="s">
        <v>94</v>
      </c>
      <c r="D43" s="11" t="s">
        <v>95</v>
      </c>
      <c r="E43" s="6" t="s">
        <v>96</v>
      </c>
      <c r="F43" s="15" t="s">
        <v>97</v>
      </c>
      <c r="G43" s="15" t="s">
        <v>98</v>
      </c>
      <c r="H43" s="16">
        <v>72.3</v>
      </c>
      <c r="I43" s="11" t="s">
        <v>99</v>
      </c>
      <c r="J43" s="7" t="s">
        <v>100</v>
      </c>
      <c r="K43" s="7" t="s">
        <v>100</v>
      </c>
      <c r="L43" s="7" t="s">
        <v>100</v>
      </c>
      <c r="M43" s="16"/>
      <c r="N43" s="37" t="str">
        <f>IFERROR((J43*100%)/H43,"-")</f>
        <v>-</v>
      </c>
      <c r="O43" s="37" t="str">
        <f t="shared" si="1"/>
        <v>-</v>
      </c>
      <c r="P43" s="37" t="str">
        <f t="shared" si="2"/>
        <v>-</v>
      </c>
      <c r="Q43" s="37" t="str">
        <f>IF(M43&gt;H43,1,"-")</f>
        <v>-</v>
      </c>
      <c r="R43" s="37" t="str">
        <f t="shared" si="0"/>
        <v>-</v>
      </c>
    </row>
    <row r="44" spans="1:18" ht="100.5" customHeight="1" x14ac:dyDescent="0.2">
      <c r="A44" s="501" t="s">
        <v>101</v>
      </c>
      <c r="B44" s="501" t="s">
        <v>102</v>
      </c>
      <c r="C44" s="501" t="s">
        <v>103</v>
      </c>
      <c r="D44" s="507" t="s">
        <v>104</v>
      </c>
      <c r="E44" s="510">
        <v>0.6</v>
      </c>
      <c r="F44" s="11" t="s">
        <v>105</v>
      </c>
      <c r="G44" s="39" t="s">
        <v>106</v>
      </c>
      <c r="H44" s="6">
        <v>0.8</v>
      </c>
      <c r="I44" s="507" t="s">
        <v>107</v>
      </c>
      <c r="J44" s="7"/>
      <c r="K44" s="7"/>
      <c r="L44" s="7"/>
      <c r="M44" s="7"/>
      <c r="N44" s="9">
        <f>IFERROR((J44*100%)/H44,"-")</f>
        <v>0</v>
      </c>
      <c r="O44" s="9">
        <f t="shared" si="1"/>
        <v>0</v>
      </c>
      <c r="P44" s="9">
        <f t="shared" si="2"/>
        <v>0</v>
      </c>
      <c r="Q44" s="9">
        <f>IFERROR((M44*100%)/H44,"-")</f>
        <v>0</v>
      </c>
      <c r="R44" s="9">
        <f t="shared" si="0"/>
        <v>0</v>
      </c>
    </row>
    <row r="45" spans="1:18" ht="112.5" customHeight="1" x14ac:dyDescent="0.2">
      <c r="A45" s="502"/>
      <c r="B45" s="502"/>
      <c r="C45" s="502"/>
      <c r="D45" s="508"/>
      <c r="E45" s="511"/>
      <c r="F45" s="11" t="s">
        <v>108</v>
      </c>
      <c r="G45" s="39" t="s">
        <v>109</v>
      </c>
      <c r="H45" s="6">
        <v>0.8</v>
      </c>
      <c r="I45" s="508"/>
      <c r="J45" s="7"/>
      <c r="K45" s="7"/>
      <c r="L45" s="7"/>
      <c r="M45" s="7"/>
      <c r="N45" s="9">
        <f t="shared" ref="N45" si="6">IFERROR((J45*100%)/H45,"-")</f>
        <v>0</v>
      </c>
      <c r="O45" s="9">
        <f t="shared" si="1"/>
        <v>0</v>
      </c>
      <c r="P45" s="9">
        <f t="shared" si="2"/>
        <v>0</v>
      </c>
      <c r="Q45" s="9">
        <f>IFERROR((M45*100%)/H45,"-")</f>
        <v>0</v>
      </c>
      <c r="R45" s="9">
        <f t="shared" si="0"/>
        <v>0</v>
      </c>
    </row>
    <row r="46" spans="1:18" ht="39" customHeight="1" x14ac:dyDescent="0.2">
      <c r="A46" s="502"/>
      <c r="B46" s="502"/>
      <c r="C46" s="503"/>
      <c r="D46" s="509"/>
      <c r="E46" s="512"/>
      <c r="F46" s="11" t="s">
        <v>110</v>
      </c>
      <c r="G46" s="39" t="s">
        <v>111</v>
      </c>
      <c r="H46" s="6" t="s">
        <v>112</v>
      </c>
      <c r="I46" s="509"/>
      <c r="J46" s="17"/>
      <c r="K46" s="17"/>
      <c r="L46" s="17"/>
      <c r="M46" s="11"/>
      <c r="N46" s="37" t="str">
        <f>IF((J46*100%)&gt;=1,1,"-")</f>
        <v>-</v>
      </c>
      <c r="O46" s="37" t="str">
        <f t="shared" ref="O46:Q46" si="7">IF((K46*100%)&gt;=1,1,"-")</f>
        <v>-</v>
      </c>
      <c r="P46" s="37" t="str">
        <f t="shared" si="7"/>
        <v>-</v>
      </c>
      <c r="Q46" s="37" t="str">
        <f t="shared" si="7"/>
        <v>-</v>
      </c>
      <c r="R46" s="37" t="str">
        <f t="shared" si="0"/>
        <v>-</v>
      </c>
    </row>
    <row r="47" spans="1:18" ht="66.75" customHeight="1" x14ac:dyDescent="0.2">
      <c r="A47" s="502"/>
      <c r="B47" s="502"/>
      <c r="C47" s="501" t="s">
        <v>113</v>
      </c>
      <c r="D47" s="507" t="s">
        <v>114</v>
      </c>
      <c r="E47" s="510">
        <v>0.3</v>
      </c>
      <c r="F47" s="11" t="s">
        <v>115</v>
      </c>
      <c r="G47" s="39" t="s">
        <v>116</v>
      </c>
      <c r="H47" s="6">
        <v>0.9</v>
      </c>
      <c r="I47" s="507" t="s">
        <v>117</v>
      </c>
      <c r="J47" s="7"/>
      <c r="K47" s="7"/>
      <c r="L47" s="7"/>
      <c r="M47" s="7"/>
      <c r="N47" s="9">
        <f>IFERROR((J47*100%)/H47,"-")</f>
        <v>0</v>
      </c>
      <c r="O47" s="9">
        <f>IFERROR((K47*100%)/H47,"-")</f>
        <v>0</v>
      </c>
      <c r="P47" s="9">
        <f>IFERROR((L47*100%)/H47,"-")</f>
        <v>0</v>
      </c>
      <c r="Q47" s="9">
        <f>IFERROR((M47*100%)/H47,"-")</f>
        <v>0</v>
      </c>
      <c r="R47" s="9">
        <f t="shared" si="0"/>
        <v>0</v>
      </c>
    </row>
    <row r="48" spans="1:18" ht="91.5" customHeight="1" x14ac:dyDescent="0.2">
      <c r="A48" s="502"/>
      <c r="B48" s="502"/>
      <c r="C48" s="502"/>
      <c r="D48" s="508"/>
      <c r="E48" s="511"/>
      <c r="F48" s="11" t="s">
        <v>118</v>
      </c>
      <c r="G48" s="39" t="s">
        <v>119</v>
      </c>
      <c r="H48" s="6">
        <v>0.9</v>
      </c>
      <c r="I48" s="508"/>
      <c r="J48" s="7"/>
      <c r="K48" s="7"/>
      <c r="L48" s="7"/>
      <c r="M48" s="7"/>
      <c r="N48" s="9">
        <f t="shared" ref="N48:N50" si="8">IFERROR((J48*100%)/H48,"-")</f>
        <v>0</v>
      </c>
      <c r="O48" s="9">
        <f>IFERROR((K48*100%)/H48,"-")</f>
        <v>0</v>
      </c>
      <c r="P48" s="9">
        <f>IFERROR((L48*100%)/H48,"-")</f>
        <v>0</v>
      </c>
      <c r="Q48" s="9">
        <f>IFERROR((M48*100%)/H48,"-")</f>
        <v>0</v>
      </c>
      <c r="R48" s="9">
        <f t="shared" si="0"/>
        <v>0</v>
      </c>
    </row>
    <row r="49" spans="1:18" ht="39" customHeight="1" x14ac:dyDescent="0.2">
      <c r="A49" s="502"/>
      <c r="B49" s="502"/>
      <c r="C49" s="502"/>
      <c r="D49" s="508"/>
      <c r="E49" s="511"/>
      <c r="F49" s="18" t="s">
        <v>120</v>
      </c>
      <c r="G49" s="39" t="s">
        <v>121</v>
      </c>
      <c r="H49" s="6">
        <v>0.9</v>
      </c>
      <c r="I49" s="508"/>
      <c r="J49" s="7"/>
      <c r="K49" s="7"/>
      <c r="L49" s="7"/>
      <c r="M49" s="7"/>
      <c r="N49" s="9">
        <f t="shared" si="8"/>
        <v>0</v>
      </c>
      <c r="O49" s="9">
        <f>IFERROR((K49*100%)/H49,"-")</f>
        <v>0</v>
      </c>
      <c r="P49" s="9">
        <f>IFERROR((L49*100%)/H49,"-")</f>
        <v>0</v>
      </c>
      <c r="Q49" s="9">
        <f>IFERROR((M49*100%)/H49,"-")</f>
        <v>0</v>
      </c>
      <c r="R49" s="9">
        <f t="shared" si="0"/>
        <v>0</v>
      </c>
    </row>
    <row r="50" spans="1:18" ht="39" customHeight="1" x14ac:dyDescent="0.2">
      <c r="A50" s="502"/>
      <c r="B50" s="502"/>
      <c r="C50" s="502"/>
      <c r="D50" s="508"/>
      <c r="E50" s="511"/>
      <c r="F50" s="18" t="s">
        <v>122</v>
      </c>
      <c r="G50" s="39" t="s">
        <v>121</v>
      </c>
      <c r="H50" s="6">
        <v>0.9</v>
      </c>
      <c r="I50" s="508"/>
      <c r="J50" s="7"/>
      <c r="K50" s="7"/>
      <c r="L50" s="7"/>
      <c r="M50" s="7"/>
      <c r="N50" s="9">
        <f t="shared" si="8"/>
        <v>0</v>
      </c>
      <c r="O50" s="9">
        <f>IFERROR((K50*100%)/H50,"-")</f>
        <v>0</v>
      </c>
      <c r="P50" s="9">
        <f>IFERROR((L50*100%)/H50,"-")</f>
        <v>0</v>
      </c>
      <c r="Q50" s="9">
        <f>IFERROR((M50*100%)/H50,"-")</f>
        <v>0</v>
      </c>
      <c r="R50" s="9">
        <f t="shared" si="0"/>
        <v>0</v>
      </c>
    </row>
    <row r="51" spans="1:18" ht="39" customHeight="1" x14ac:dyDescent="0.2">
      <c r="A51" s="502"/>
      <c r="B51" s="502"/>
      <c r="C51" s="503"/>
      <c r="D51" s="509"/>
      <c r="E51" s="512"/>
      <c r="F51" s="18" t="s">
        <v>123</v>
      </c>
      <c r="G51" s="39" t="s">
        <v>121</v>
      </c>
      <c r="H51" s="6">
        <v>0.9</v>
      </c>
      <c r="I51" s="509"/>
      <c r="J51" s="7"/>
      <c r="K51" s="7"/>
      <c r="L51" s="7"/>
      <c r="M51" s="7"/>
      <c r="N51" s="9">
        <f>IFERROR((J51*100%)/H51,"-")</f>
        <v>0</v>
      </c>
      <c r="O51" s="9">
        <f>IFERROR((K51*100%)/H51,"-")</f>
        <v>0</v>
      </c>
      <c r="P51" s="9">
        <f>IFERROR((L51*100%)/H51,"-")</f>
        <v>0</v>
      </c>
      <c r="Q51" s="9">
        <f>IFERROR((M51*100%)/H51,"-")</f>
        <v>0</v>
      </c>
      <c r="R51" s="9">
        <f t="shared" si="0"/>
        <v>0</v>
      </c>
    </row>
    <row r="52" spans="1:18" ht="72" customHeight="1" x14ac:dyDescent="0.2">
      <c r="A52" s="502"/>
      <c r="B52" s="502"/>
      <c r="C52" s="504" t="s">
        <v>124</v>
      </c>
      <c r="D52" s="507" t="s">
        <v>125</v>
      </c>
      <c r="E52" s="510">
        <v>0.6</v>
      </c>
      <c r="F52" s="18" t="s">
        <v>126</v>
      </c>
      <c r="G52" s="38" t="s">
        <v>127</v>
      </c>
      <c r="H52" s="6" t="s">
        <v>128</v>
      </c>
      <c r="I52" s="507" t="s">
        <v>129</v>
      </c>
      <c r="J52" s="7"/>
      <c r="K52" s="7"/>
      <c r="L52" s="7"/>
      <c r="M52" s="7"/>
      <c r="N52" s="37" t="str">
        <f>IF((J52*100%)=50%,1,"-")</f>
        <v>-</v>
      </c>
      <c r="O52" s="37" t="str">
        <f t="shared" ref="O52:Q52" si="9">IF((K52*100%)=50%,1,"-")</f>
        <v>-</v>
      </c>
      <c r="P52" s="37" t="str">
        <f t="shared" si="9"/>
        <v>-</v>
      </c>
      <c r="Q52" s="37" t="str">
        <f t="shared" si="9"/>
        <v>-</v>
      </c>
      <c r="R52" s="37" t="str">
        <f>IFERROR(AVERAGE(N52:Q52),"-")</f>
        <v>-</v>
      </c>
    </row>
    <row r="53" spans="1:18" ht="87" customHeight="1" x14ac:dyDescent="0.2">
      <c r="A53" s="502"/>
      <c r="B53" s="502"/>
      <c r="C53" s="505"/>
      <c r="D53" s="508"/>
      <c r="E53" s="511"/>
      <c r="F53" s="18" t="s">
        <v>130</v>
      </c>
      <c r="G53" s="38" t="s">
        <v>131</v>
      </c>
      <c r="H53" s="6" t="s">
        <v>132</v>
      </c>
      <c r="I53" s="508"/>
      <c r="J53" s="7"/>
      <c r="K53" s="7"/>
      <c r="L53" s="7"/>
      <c r="M53" s="7"/>
      <c r="N53" s="37" t="str">
        <f>IF((J53*100%)&gt;=80%,1,"-")</f>
        <v>-</v>
      </c>
      <c r="O53" s="37" t="str">
        <f t="shared" ref="O53:Q54" si="10">IF((K53*100%)&gt;=80%,1,"-")</f>
        <v>-</v>
      </c>
      <c r="P53" s="37" t="str">
        <f t="shared" si="10"/>
        <v>-</v>
      </c>
      <c r="Q53" s="37" t="str">
        <f t="shared" si="10"/>
        <v>-</v>
      </c>
      <c r="R53" s="37" t="str">
        <f t="shared" si="0"/>
        <v>-</v>
      </c>
    </row>
    <row r="54" spans="1:18" ht="86.25" customHeight="1" x14ac:dyDescent="0.2">
      <c r="A54" s="503"/>
      <c r="B54" s="503"/>
      <c r="C54" s="506"/>
      <c r="D54" s="509"/>
      <c r="E54" s="512"/>
      <c r="F54" s="18" t="s">
        <v>133</v>
      </c>
      <c r="G54" s="38" t="s">
        <v>134</v>
      </c>
      <c r="H54" s="6" t="s">
        <v>132</v>
      </c>
      <c r="I54" s="509"/>
      <c r="J54" s="7"/>
      <c r="K54" s="7"/>
      <c r="L54" s="7"/>
      <c r="M54" s="7"/>
      <c r="N54" s="37" t="str">
        <f>IF((J54*100%)&gt;=80%,1,"-")</f>
        <v>-</v>
      </c>
      <c r="O54" s="37" t="str">
        <f t="shared" si="10"/>
        <v>-</v>
      </c>
      <c r="P54" s="37" t="str">
        <f t="shared" si="10"/>
        <v>-</v>
      </c>
      <c r="Q54" s="37" t="str">
        <f t="shared" si="10"/>
        <v>-</v>
      </c>
      <c r="R54" s="37" t="str">
        <f t="shared" si="0"/>
        <v>-</v>
      </c>
    </row>
    <row r="55" spans="1:18" ht="78.75" customHeight="1" x14ac:dyDescent="0.2">
      <c r="A55" s="501" t="s">
        <v>135</v>
      </c>
      <c r="B55" s="504" t="s">
        <v>136</v>
      </c>
      <c r="C55" s="504" t="s">
        <v>137</v>
      </c>
      <c r="D55" s="507" t="s">
        <v>138</v>
      </c>
      <c r="E55" s="510">
        <v>0.4</v>
      </c>
      <c r="F55" s="18" t="s">
        <v>139</v>
      </c>
      <c r="G55" s="38" t="s">
        <v>140</v>
      </c>
      <c r="H55" s="6" t="s">
        <v>141</v>
      </c>
      <c r="I55" s="510" t="s">
        <v>142</v>
      </c>
      <c r="J55" s="7"/>
      <c r="K55" s="7"/>
      <c r="L55" s="7"/>
      <c r="M55" s="7"/>
      <c r="N55" s="37" t="str">
        <f>IF((J55*100%)&gt;=90%,1,"-")</f>
        <v>-</v>
      </c>
      <c r="O55" s="37" t="str">
        <f t="shared" ref="O55:Q55" si="11">IF((K55*100%)&gt;=90%,1,"-")</f>
        <v>-</v>
      </c>
      <c r="P55" s="37" t="str">
        <f t="shared" si="11"/>
        <v>-</v>
      </c>
      <c r="Q55" s="37" t="str">
        <f t="shared" si="11"/>
        <v>-</v>
      </c>
      <c r="R55" s="37" t="str">
        <f t="shared" si="0"/>
        <v>-</v>
      </c>
    </row>
    <row r="56" spans="1:18" ht="72" customHeight="1" x14ac:dyDescent="0.2">
      <c r="A56" s="503"/>
      <c r="B56" s="506"/>
      <c r="C56" s="506"/>
      <c r="D56" s="509"/>
      <c r="E56" s="512"/>
      <c r="F56" s="18" t="s">
        <v>143</v>
      </c>
      <c r="G56" s="38" t="s">
        <v>144</v>
      </c>
      <c r="H56" s="6">
        <v>0.3</v>
      </c>
      <c r="I56" s="512"/>
      <c r="J56" s="7"/>
      <c r="K56" s="7"/>
      <c r="L56" s="7"/>
      <c r="M56" s="7"/>
      <c r="N56" s="9">
        <f t="shared" ref="N56:N68" si="12">IFERROR((J56*100%)/H56,"-")</f>
        <v>0</v>
      </c>
      <c r="O56" s="9">
        <f t="shared" ref="O56:O61" si="13">IFERROR((K56*100%)/H56,"-")</f>
        <v>0</v>
      </c>
      <c r="P56" s="9">
        <f t="shared" ref="P56:P61" si="14">IFERROR((L56*100%)/H56,"-")</f>
        <v>0</v>
      </c>
      <c r="Q56" s="9">
        <f>IFERROR((M56*100%)/H56,"-")</f>
        <v>0</v>
      </c>
      <c r="R56" s="9">
        <f t="shared" si="0"/>
        <v>0</v>
      </c>
    </row>
    <row r="57" spans="1:18" ht="58.5" customHeight="1" x14ac:dyDescent="0.2">
      <c r="A57" s="501" t="s">
        <v>145</v>
      </c>
      <c r="B57" s="504" t="s">
        <v>146</v>
      </c>
      <c r="C57" s="19" t="s">
        <v>147</v>
      </c>
      <c r="D57" s="11" t="s">
        <v>148</v>
      </c>
      <c r="E57" s="6" t="s">
        <v>149</v>
      </c>
      <c r="F57" s="18" t="s">
        <v>150</v>
      </c>
      <c r="G57" s="40" t="s">
        <v>150</v>
      </c>
      <c r="H57" s="20">
        <v>1</v>
      </c>
      <c r="I57" s="6" t="s">
        <v>151</v>
      </c>
      <c r="J57" s="7" t="s">
        <v>100</v>
      </c>
      <c r="K57" s="7" t="s">
        <v>100</v>
      </c>
      <c r="L57" s="7" t="s">
        <v>100</v>
      </c>
      <c r="M57" s="21"/>
      <c r="N57" s="37" t="str">
        <f>IFERROR((J57*100%)/H57,"-")</f>
        <v>-</v>
      </c>
      <c r="O57" s="37" t="str">
        <f t="shared" si="13"/>
        <v>-</v>
      </c>
      <c r="P57" s="37" t="str">
        <f t="shared" si="14"/>
        <v>-</v>
      </c>
      <c r="Q57" s="37" t="str">
        <f>IF(M57=1,1,"-")</f>
        <v>-</v>
      </c>
      <c r="R57" s="37" t="str">
        <f t="shared" si="0"/>
        <v>-</v>
      </c>
    </row>
    <row r="58" spans="1:18" ht="39" customHeight="1" x14ac:dyDescent="0.2">
      <c r="A58" s="502"/>
      <c r="B58" s="505"/>
      <c r="C58" s="19" t="s">
        <v>152</v>
      </c>
      <c r="D58" s="11" t="s">
        <v>153</v>
      </c>
      <c r="E58" s="6" t="s">
        <v>154</v>
      </c>
      <c r="F58" s="18" t="s">
        <v>155</v>
      </c>
      <c r="G58" s="40" t="s">
        <v>155</v>
      </c>
      <c r="H58" s="20">
        <v>1</v>
      </c>
      <c r="I58" s="6" t="s">
        <v>156</v>
      </c>
      <c r="J58" s="7" t="s">
        <v>100</v>
      </c>
      <c r="K58" s="7" t="s">
        <v>100</v>
      </c>
      <c r="L58" s="7" t="s">
        <v>100</v>
      </c>
      <c r="M58" s="21"/>
      <c r="N58" s="37" t="str">
        <f t="shared" si="12"/>
        <v>-</v>
      </c>
      <c r="O58" s="37" t="str">
        <f t="shared" si="13"/>
        <v>-</v>
      </c>
      <c r="P58" s="37" t="str">
        <f t="shared" si="14"/>
        <v>-</v>
      </c>
      <c r="Q58" s="37" t="str">
        <f>IF(M58=1,1,"-")</f>
        <v>-</v>
      </c>
      <c r="R58" s="37" t="str">
        <f t="shared" si="0"/>
        <v>-</v>
      </c>
    </row>
    <row r="59" spans="1:18" ht="39" customHeight="1" x14ac:dyDescent="0.2">
      <c r="A59" s="502"/>
      <c r="B59" s="505"/>
      <c r="C59" s="19" t="s">
        <v>157</v>
      </c>
      <c r="D59" s="11" t="s">
        <v>158</v>
      </c>
      <c r="E59" s="6" t="s">
        <v>100</v>
      </c>
      <c r="F59" s="18" t="s">
        <v>159</v>
      </c>
      <c r="G59" s="40" t="s">
        <v>159</v>
      </c>
      <c r="H59" s="20">
        <v>1</v>
      </c>
      <c r="I59" s="6" t="s">
        <v>160</v>
      </c>
      <c r="J59" s="7" t="s">
        <v>100</v>
      </c>
      <c r="K59" s="7" t="s">
        <v>100</v>
      </c>
      <c r="L59" s="7" t="s">
        <v>100</v>
      </c>
      <c r="M59" s="21"/>
      <c r="N59" s="37" t="str">
        <f t="shared" si="12"/>
        <v>-</v>
      </c>
      <c r="O59" s="37" t="str">
        <f t="shared" si="13"/>
        <v>-</v>
      </c>
      <c r="P59" s="37" t="str">
        <f t="shared" si="14"/>
        <v>-</v>
      </c>
      <c r="Q59" s="37" t="str">
        <f>IF(M59=1,1,"-")</f>
        <v>-</v>
      </c>
      <c r="R59" s="37" t="str">
        <f t="shared" si="0"/>
        <v>-</v>
      </c>
    </row>
    <row r="60" spans="1:18" ht="39" customHeight="1" x14ac:dyDescent="0.2">
      <c r="A60" s="502"/>
      <c r="B60" s="505"/>
      <c r="C60" s="504" t="s">
        <v>161</v>
      </c>
      <c r="D60" s="11" t="s">
        <v>162</v>
      </c>
      <c r="E60" s="6" t="s">
        <v>154</v>
      </c>
      <c r="F60" s="18" t="s">
        <v>163</v>
      </c>
      <c r="G60" s="40" t="s">
        <v>163</v>
      </c>
      <c r="H60" s="20">
        <v>1</v>
      </c>
      <c r="I60" s="510" t="s">
        <v>164</v>
      </c>
      <c r="J60" s="7" t="s">
        <v>100</v>
      </c>
      <c r="K60" s="7" t="s">
        <v>100</v>
      </c>
      <c r="L60" s="7" t="s">
        <v>100</v>
      </c>
      <c r="M60" s="21"/>
      <c r="N60" s="37" t="str">
        <f t="shared" si="12"/>
        <v>-</v>
      </c>
      <c r="O60" s="37" t="str">
        <f t="shared" si="13"/>
        <v>-</v>
      </c>
      <c r="P60" s="37" t="str">
        <f t="shared" si="14"/>
        <v>-</v>
      </c>
      <c r="Q60" s="37" t="str">
        <f>IF(M60=1,1,"-")</f>
        <v>-</v>
      </c>
      <c r="R60" s="37" t="str">
        <f t="shared" si="0"/>
        <v>-</v>
      </c>
    </row>
    <row r="61" spans="1:18" ht="39" customHeight="1" x14ac:dyDescent="0.2">
      <c r="A61" s="503"/>
      <c r="B61" s="506"/>
      <c r="C61" s="506"/>
      <c r="D61" s="11" t="s">
        <v>165</v>
      </c>
      <c r="E61" s="6" t="s">
        <v>149</v>
      </c>
      <c r="F61" s="18" t="s">
        <v>166</v>
      </c>
      <c r="G61" s="40" t="s">
        <v>166</v>
      </c>
      <c r="H61" s="20">
        <v>1</v>
      </c>
      <c r="I61" s="512"/>
      <c r="J61" s="7" t="s">
        <v>100</v>
      </c>
      <c r="K61" s="7" t="s">
        <v>100</v>
      </c>
      <c r="L61" s="7" t="s">
        <v>100</v>
      </c>
      <c r="M61" s="21"/>
      <c r="N61" s="37" t="str">
        <f t="shared" si="12"/>
        <v>-</v>
      </c>
      <c r="O61" s="37" t="str">
        <f t="shared" si="13"/>
        <v>-</v>
      </c>
      <c r="P61" s="37" t="str">
        <f t="shared" si="14"/>
        <v>-</v>
      </c>
      <c r="Q61" s="37" t="str">
        <f>IF(M61=1,1,"-")</f>
        <v>-</v>
      </c>
      <c r="R61" s="37" t="str">
        <f t="shared" si="0"/>
        <v>-</v>
      </c>
    </row>
    <row r="62" spans="1:18" ht="84" customHeight="1" x14ac:dyDescent="0.2">
      <c r="A62" s="501" t="s">
        <v>167</v>
      </c>
      <c r="B62" s="504" t="s">
        <v>168</v>
      </c>
      <c r="C62" s="504" t="s">
        <v>169</v>
      </c>
      <c r="D62" s="507" t="s">
        <v>170</v>
      </c>
      <c r="E62" s="510">
        <v>0.5</v>
      </c>
      <c r="F62" s="18" t="s">
        <v>171</v>
      </c>
      <c r="G62" s="38" t="s">
        <v>172</v>
      </c>
      <c r="H62" s="6" t="s">
        <v>173</v>
      </c>
      <c r="I62" s="510" t="s">
        <v>174</v>
      </c>
      <c r="J62" s="7" t="s">
        <v>100</v>
      </c>
      <c r="K62" s="7" t="s">
        <v>100</v>
      </c>
      <c r="L62" s="7" t="s">
        <v>100</v>
      </c>
      <c r="M62" s="10"/>
      <c r="N62" s="37" t="e">
        <f>IF((J62*100%)&gt;=1%,1,"-")</f>
        <v>#VALUE!</v>
      </c>
      <c r="O62" s="37" t="e">
        <f t="shared" ref="O62:Q62" si="15">IF((K62*100%)&gt;=1%,1,"-")</f>
        <v>#VALUE!</v>
      </c>
      <c r="P62" s="37" t="e">
        <f t="shared" si="15"/>
        <v>#VALUE!</v>
      </c>
      <c r="Q62" s="37" t="str">
        <f t="shared" si="15"/>
        <v>-</v>
      </c>
      <c r="R62" s="37" t="str">
        <f t="shared" si="0"/>
        <v>-</v>
      </c>
    </row>
    <row r="63" spans="1:18" ht="39" customHeight="1" x14ac:dyDescent="0.2">
      <c r="A63" s="502"/>
      <c r="B63" s="505"/>
      <c r="C63" s="505"/>
      <c r="D63" s="508"/>
      <c r="E63" s="511"/>
      <c r="F63" s="18" t="s">
        <v>175</v>
      </c>
      <c r="G63" s="38" t="s">
        <v>176</v>
      </c>
      <c r="H63" s="6">
        <v>0.6</v>
      </c>
      <c r="I63" s="511"/>
      <c r="J63" s="7"/>
      <c r="K63" s="7"/>
      <c r="L63" s="7"/>
      <c r="M63" s="7"/>
      <c r="N63" s="9">
        <f t="shared" si="12"/>
        <v>0</v>
      </c>
      <c r="O63" s="9">
        <f t="shared" ref="O63:O68" si="16">IFERROR((K63*100%)/H63,"-")</f>
        <v>0</v>
      </c>
      <c r="P63" s="9">
        <f t="shared" ref="P63:P68" si="17">IFERROR((L63*100%)/H63,"-")</f>
        <v>0</v>
      </c>
      <c r="Q63" s="9">
        <f t="shared" ref="Q63:Q66" si="18">IFERROR((M63*100%)/H63,"-")</f>
        <v>0</v>
      </c>
      <c r="R63" s="9">
        <f t="shared" si="0"/>
        <v>0</v>
      </c>
    </row>
    <row r="64" spans="1:18" ht="72" customHeight="1" x14ac:dyDescent="0.2">
      <c r="A64" s="502"/>
      <c r="B64" s="505"/>
      <c r="C64" s="505"/>
      <c r="D64" s="508"/>
      <c r="E64" s="511"/>
      <c r="F64" s="18" t="s">
        <v>177</v>
      </c>
      <c r="G64" s="38" t="s">
        <v>178</v>
      </c>
      <c r="H64" s="6">
        <v>0.15</v>
      </c>
      <c r="I64" s="511"/>
      <c r="J64" s="7"/>
      <c r="K64" s="7"/>
      <c r="L64" s="7"/>
      <c r="M64" s="7"/>
      <c r="N64" s="9">
        <f t="shared" si="12"/>
        <v>0</v>
      </c>
      <c r="O64" s="9">
        <f t="shared" si="16"/>
        <v>0</v>
      </c>
      <c r="P64" s="9">
        <f t="shared" si="17"/>
        <v>0</v>
      </c>
      <c r="Q64" s="9">
        <f t="shared" si="18"/>
        <v>0</v>
      </c>
      <c r="R64" s="9">
        <f t="shared" si="0"/>
        <v>0</v>
      </c>
    </row>
    <row r="65" spans="1:18" ht="64.5" customHeight="1" x14ac:dyDescent="0.2">
      <c r="A65" s="502"/>
      <c r="B65" s="505"/>
      <c r="C65" s="506"/>
      <c r="D65" s="509"/>
      <c r="E65" s="512"/>
      <c r="F65" s="18" t="s">
        <v>179</v>
      </c>
      <c r="G65" s="38" t="s">
        <v>180</v>
      </c>
      <c r="H65" s="6">
        <v>0.15</v>
      </c>
      <c r="I65" s="511"/>
      <c r="J65" s="7"/>
      <c r="K65" s="7"/>
      <c r="L65" s="7"/>
      <c r="M65" s="7"/>
      <c r="N65" s="9">
        <f t="shared" si="12"/>
        <v>0</v>
      </c>
      <c r="O65" s="9">
        <f t="shared" si="16"/>
        <v>0</v>
      </c>
      <c r="P65" s="9">
        <f t="shared" si="17"/>
        <v>0</v>
      </c>
      <c r="Q65" s="9">
        <f t="shared" si="18"/>
        <v>0</v>
      </c>
      <c r="R65" s="9">
        <f t="shared" si="0"/>
        <v>0</v>
      </c>
    </row>
    <row r="66" spans="1:18" ht="39" customHeight="1" x14ac:dyDescent="0.2">
      <c r="A66" s="502"/>
      <c r="B66" s="505"/>
      <c r="C66" s="22" t="s">
        <v>181</v>
      </c>
      <c r="D66" s="11" t="s">
        <v>182</v>
      </c>
      <c r="E66" s="6">
        <v>0.3</v>
      </c>
      <c r="F66" s="18" t="s">
        <v>171</v>
      </c>
      <c r="G66" s="38" t="s">
        <v>172</v>
      </c>
      <c r="H66" s="6">
        <v>0.3</v>
      </c>
      <c r="I66" s="511"/>
      <c r="J66" s="7"/>
      <c r="K66" s="7"/>
      <c r="L66" s="7"/>
      <c r="M66" s="7"/>
      <c r="N66" s="9">
        <f t="shared" si="12"/>
        <v>0</v>
      </c>
      <c r="O66" s="9">
        <f t="shared" si="16"/>
        <v>0</v>
      </c>
      <c r="P66" s="9">
        <f t="shared" si="17"/>
        <v>0</v>
      </c>
      <c r="Q66" s="9">
        <f t="shared" si="18"/>
        <v>0</v>
      </c>
      <c r="R66" s="9">
        <f t="shared" si="0"/>
        <v>0</v>
      </c>
    </row>
    <row r="67" spans="1:18" ht="39" customHeight="1" x14ac:dyDescent="0.2">
      <c r="A67" s="502"/>
      <c r="B67" s="505"/>
      <c r="C67" s="22" t="s">
        <v>183</v>
      </c>
      <c r="D67" s="11" t="s">
        <v>184</v>
      </c>
      <c r="E67" s="21">
        <v>1</v>
      </c>
      <c r="F67" s="18" t="s">
        <v>185</v>
      </c>
      <c r="G67" s="39" t="s">
        <v>186</v>
      </c>
      <c r="H67" s="20">
        <v>1</v>
      </c>
      <c r="I67" s="511"/>
      <c r="J67" s="7" t="s">
        <v>100</v>
      </c>
      <c r="K67" s="7" t="s">
        <v>100</v>
      </c>
      <c r="L67" s="7" t="s">
        <v>100</v>
      </c>
      <c r="M67" s="21"/>
      <c r="N67" s="37" t="str">
        <f>IFERROR((J67*100%)/H67,"-")</f>
        <v>-</v>
      </c>
      <c r="O67" s="37" t="str">
        <f t="shared" si="16"/>
        <v>-</v>
      </c>
      <c r="P67" s="37" t="str">
        <f t="shared" si="17"/>
        <v>-</v>
      </c>
      <c r="Q67" s="37" t="str">
        <f>IF(M67=1,1,"-")</f>
        <v>-</v>
      </c>
      <c r="R67" s="37" t="str">
        <f t="shared" si="0"/>
        <v>-</v>
      </c>
    </row>
    <row r="68" spans="1:18" ht="84.75" customHeight="1" x14ac:dyDescent="0.2">
      <c r="A68" s="503"/>
      <c r="B68" s="506"/>
      <c r="C68" s="22" t="s">
        <v>187</v>
      </c>
      <c r="D68" s="11" t="s">
        <v>188</v>
      </c>
      <c r="E68" s="21">
        <v>1</v>
      </c>
      <c r="F68" s="18" t="s">
        <v>189</v>
      </c>
      <c r="G68" s="39" t="s">
        <v>190</v>
      </c>
      <c r="H68" s="20">
        <v>1</v>
      </c>
      <c r="I68" s="512"/>
      <c r="J68" s="7" t="s">
        <v>100</v>
      </c>
      <c r="K68" s="7" t="s">
        <v>100</v>
      </c>
      <c r="L68" s="7" t="s">
        <v>100</v>
      </c>
      <c r="M68" s="21"/>
      <c r="N68" s="37" t="str">
        <f t="shared" si="12"/>
        <v>-</v>
      </c>
      <c r="O68" s="37" t="str">
        <f t="shared" si="16"/>
        <v>-</v>
      </c>
      <c r="P68" s="37" t="str">
        <f t="shared" si="17"/>
        <v>-</v>
      </c>
      <c r="Q68" s="37" t="str">
        <f>IF(M68=1,1,"-")</f>
        <v>-</v>
      </c>
      <c r="R68" s="37" t="str">
        <f t="shared" si="0"/>
        <v>-</v>
      </c>
    </row>
    <row r="69" spans="1:18" ht="45.6" customHeight="1" x14ac:dyDescent="0.2">
      <c r="A69" s="498"/>
      <c r="B69" s="499"/>
      <c r="C69" s="499"/>
      <c r="D69" s="499"/>
      <c r="E69" s="499"/>
      <c r="F69" s="499"/>
      <c r="G69" s="499"/>
      <c r="H69" s="499"/>
      <c r="I69" s="499"/>
      <c r="J69" s="499"/>
      <c r="K69" s="499"/>
      <c r="L69" s="499"/>
      <c r="M69" s="500"/>
      <c r="N69" s="23"/>
      <c r="O69" s="23"/>
      <c r="P69" s="23"/>
      <c r="Q69" s="23"/>
      <c r="R69" s="24">
        <f>AVERAGE(R7:R68)</f>
        <v>2.1249999999999998E-2</v>
      </c>
    </row>
  </sheetData>
  <mergeCells count="73">
    <mergeCell ref="B1:R1"/>
    <mergeCell ref="A2:A3"/>
    <mergeCell ref="B2:R3"/>
    <mergeCell ref="A4:C4"/>
    <mergeCell ref="N5:R5"/>
    <mergeCell ref="A5:A6"/>
    <mergeCell ref="B5:B6"/>
    <mergeCell ref="C5:C6"/>
    <mergeCell ref="D5:D6"/>
    <mergeCell ref="E5:E6"/>
    <mergeCell ref="F5:F6"/>
    <mergeCell ref="I7:I10"/>
    <mergeCell ref="G5:G6"/>
    <mergeCell ref="H5:H6"/>
    <mergeCell ref="I5:I6"/>
    <mergeCell ref="J5:M5"/>
    <mergeCell ref="A7:A10"/>
    <mergeCell ref="B7:B10"/>
    <mergeCell ref="C7:C10"/>
    <mergeCell ref="D7:D10"/>
    <mergeCell ref="E7:E10"/>
    <mergeCell ref="I21:I37"/>
    <mergeCell ref="I11:I18"/>
    <mergeCell ref="A19:A20"/>
    <mergeCell ref="B19:B20"/>
    <mergeCell ref="C19:C20"/>
    <mergeCell ref="A11:A18"/>
    <mergeCell ref="B11:B18"/>
    <mergeCell ref="C11:C18"/>
    <mergeCell ref="D11:D18"/>
    <mergeCell ref="E11:E18"/>
    <mergeCell ref="A21:A37"/>
    <mergeCell ref="B21:B37"/>
    <mergeCell ref="C21:C37"/>
    <mergeCell ref="D21:D37"/>
    <mergeCell ref="E21:E37"/>
    <mergeCell ref="I44:I46"/>
    <mergeCell ref="A38:A43"/>
    <mergeCell ref="B38:B43"/>
    <mergeCell ref="C40:C42"/>
    <mergeCell ref="D40:D42"/>
    <mergeCell ref="E40:E42"/>
    <mergeCell ref="I40:I42"/>
    <mergeCell ref="A44:A54"/>
    <mergeCell ref="B44:B54"/>
    <mergeCell ref="C44:C46"/>
    <mergeCell ref="D44:D46"/>
    <mergeCell ref="E44:E46"/>
    <mergeCell ref="C52:C54"/>
    <mergeCell ref="D52:D54"/>
    <mergeCell ref="E52:E54"/>
    <mergeCell ref="I52:I54"/>
    <mergeCell ref="C47:C51"/>
    <mergeCell ref="D47:D51"/>
    <mergeCell ref="E47:E51"/>
    <mergeCell ref="I47:I51"/>
    <mergeCell ref="A57:A61"/>
    <mergeCell ref="B57:B61"/>
    <mergeCell ref="C60:C61"/>
    <mergeCell ref="I60:I61"/>
    <mergeCell ref="A55:A56"/>
    <mergeCell ref="B55:B56"/>
    <mergeCell ref="C55:C56"/>
    <mergeCell ref="D55:D56"/>
    <mergeCell ref="E55:E56"/>
    <mergeCell ref="I55:I56"/>
    <mergeCell ref="A69:M69"/>
    <mergeCell ref="A62:A68"/>
    <mergeCell ref="B62:B68"/>
    <mergeCell ref="C62:C65"/>
    <mergeCell ref="D62:D65"/>
    <mergeCell ref="E62:E65"/>
    <mergeCell ref="I62:I68"/>
  </mergeCells>
  <conditionalFormatting sqref="N7:R69">
    <cfRule type="cellIs" dxfId="98" priority="1" operator="lessThan">
      <formula>0.6</formula>
    </cfRule>
    <cfRule type="cellIs" dxfId="97" priority="2" operator="between">
      <formula>60%</formula>
      <formula>79%</formula>
    </cfRule>
    <cfRule type="cellIs" dxfId="96" priority="3" operator="between">
      <formula>80%</formula>
      <formula>100%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44"/>
  <sheetViews>
    <sheetView workbookViewId="0">
      <selection activeCell="B51" sqref="B51"/>
    </sheetView>
  </sheetViews>
  <sheetFormatPr baseColWidth="10" defaultRowHeight="12.75" x14ac:dyDescent="0.2"/>
  <cols>
    <col min="1" max="1" width="31.7109375" style="260" customWidth="1"/>
    <col min="2" max="2" width="66.7109375" style="260" customWidth="1"/>
    <col min="3" max="4" width="11.42578125" style="260" customWidth="1"/>
    <col min="5" max="16384" width="11.42578125" style="260"/>
  </cols>
  <sheetData>
    <row r="1" spans="1:4" ht="15" customHeight="1" x14ac:dyDescent="0.2">
      <c r="A1" s="529" t="s">
        <v>544</v>
      </c>
      <c r="B1" s="529"/>
    </row>
    <row r="2" spans="1:4" ht="15" customHeight="1" x14ac:dyDescent="0.2">
      <c r="A2" s="529" t="s">
        <v>547</v>
      </c>
      <c r="B2" s="529"/>
    </row>
    <row r="3" spans="1:4" ht="15" customHeight="1" x14ac:dyDescent="0.2">
      <c r="A3" s="274"/>
      <c r="B3" s="274"/>
    </row>
    <row r="4" spans="1:4" ht="15" customHeight="1" x14ac:dyDescent="0.2">
      <c r="A4" s="274"/>
      <c r="B4" s="274"/>
    </row>
    <row r="5" spans="1:4" ht="15" customHeight="1" x14ac:dyDescent="0.2">
      <c r="A5" s="274"/>
      <c r="B5" s="274"/>
    </row>
    <row r="6" spans="1:4" ht="15" customHeight="1" x14ac:dyDescent="0.2">
      <c r="A6" s="274"/>
      <c r="B6" s="274"/>
    </row>
    <row r="7" spans="1:4" ht="15" customHeight="1" x14ac:dyDescent="0.2">
      <c r="A7" s="274"/>
      <c r="B7" s="274"/>
    </row>
    <row r="8" spans="1:4" ht="30.75" customHeight="1" x14ac:dyDescent="0.2">
      <c r="A8" s="531" t="s">
        <v>554</v>
      </c>
      <c r="B8" s="531"/>
      <c r="C8" s="261"/>
      <c r="D8" s="261"/>
    </row>
    <row r="9" spans="1:4" ht="30.75" customHeight="1" x14ac:dyDescent="0.2">
      <c r="A9" s="532" t="s">
        <v>557</v>
      </c>
      <c r="B9" s="532"/>
      <c r="D9" s="261"/>
    </row>
    <row r="10" spans="1:4" ht="26.25" customHeight="1" x14ac:dyDescent="0.2">
      <c r="A10" s="265" t="s">
        <v>1</v>
      </c>
      <c r="B10" s="265" t="s">
        <v>570</v>
      </c>
      <c r="C10" s="261"/>
      <c r="D10" s="261"/>
    </row>
    <row r="11" spans="1:4" x14ac:dyDescent="0.2">
      <c r="A11" s="265" t="s">
        <v>3</v>
      </c>
      <c r="B11" s="265" t="s">
        <v>571</v>
      </c>
      <c r="C11" s="261"/>
      <c r="D11" s="261"/>
    </row>
    <row r="12" spans="1:4" x14ac:dyDescent="0.2">
      <c r="A12" s="265" t="s">
        <v>194</v>
      </c>
      <c r="B12" s="265" t="s">
        <v>583</v>
      </c>
      <c r="C12" s="261"/>
      <c r="D12" s="261"/>
    </row>
    <row r="13" spans="1:4" x14ac:dyDescent="0.2">
      <c r="A13" s="265" t="s">
        <v>195</v>
      </c>
      <c r="B13" s="265" t="s">
        <v>572</v>
      </c>
      <c r="C13" s="261"/>
      <c r="D13" s="261"/>
    </row>
    <row r="14" spans="1:4" ht="25.5" x14ac:dyDescent="0.2">
      <c r="A14" s="265" t="s">
        <v>196</v>
      </c>
      <c r="B14" s="265" t="s">
        <v>574</v>
      </c>
      <c r="C14" s="261"/>
      <c r="D14" s="261"/>
    </row>
    <row r="15" spans="1:4" ht="30" customHeight="1" x14ac:dyDescent="0.2">
      <c r="A15" s="266" t="s">
        <v>231</v>
      </c>
      <c r="B15" s="266" t="s">
        <v>573</v>
      </c>
      <c r="C15" s="261"/>
      <c r="D15" s="261"/>
    </row>
    <row r="16" spans="1:4" ht="38.25" x14ac:dyDescent="0.2">
      <c r="A16" s="265" t="s">
        <v>228</v>
      </c>
      <c r="B16" s="265" t="s">
        <v>584</v>
      </c>
      <c r="C16" s="261"/>
      <c r="D16" s="261"/>
    </row>
    <row r="17" spans="1:4" ht="25.5" x14ac:dyDescent="0.2">
      <c r="A17" s="265" t="s">
        <v>575</v>
      </c>
      <c r="B17" s="265" t="s">
        <v>576</v>
      </c>
      <c r="C17" s="261"/>
      <c r="D17" s="261"/>
    </row>
    <row r="18" spans="1:4" ht="25.5" x14ac:dyDescent="0.2">
      <c r="A18" s="265" t="s">
        <v>8</v>
      </c>
      <c r="B18" s="265" t="s">
        <v>577</v>
      </c>
      <c r="C18" s="261"/>
      <c r="D18" s="261"/>
    </row>
    <row r="19" spans="1:4" x14ac:dyDescent="0.2">
      <c r="A19" s="265" t="s">
        <v>481</v>
      </c>
      <c r="B19" s="265" t="s">
        <v>578</v>
      </c>
      <c r="C19" s="261"/>
      <c r="D19" s="261"/>
    </row>
    <row r="20" spans="1:4" x14ac:dyDescent="0.2">
      <c r="A20" s="265" t="s">
        <v>9</v>
      </c>
      <c r="B20" s="265" t="s">
        <v>579</v>
      </c>
      <c r="C20" s="261"/>
      <c r="D20" s="261"/>
    </row>
    <row r="21" spans="1:4" ht="5.25" customHeight="1" x14ac:dyDescent="0.2">
      <c r="A21" s="267"/>
      <c r="B21" s="268"/>
      <c r="C21" s="261"/>
      <c r="D21" s="261"/>
    </row>
    <row r="22" spans="1:4" ht="25.5" x14ac:dyDescent="0.2">
      <c r="A22" s="530" t="s">
        <v>545</v>
      </c>
      <c r="B22" s="262" t="s">
        <v>551</v>
      </c>
    </row>
    <row r="23" spans="1:4" ht="38.25" x14ac:dyDescent="0.2">
      <c r="A23" s="530"/>
      <c r="B23" s="262" t="s">
        <v>548</v>
      </c>
    </row>
    <row r="24" spans="1:4" ht="63.75" x14ac:dyDescent="0.2">
      <c r="A24" s="67" t="s">
        <v>414</v>
      </c>
      <c r="B24" s="67" t="s">
        <v>549</v>
      </c>
    </row>
    <row r="25" spans="1:4" ht="25.5" x14ac:dyDescent="0.2">
      <c r="A25" s="263" t="s">
        <v>552</v>
      </c>
      <c r="B25" s="269" t="s">
        <v>581</v>
      </c>
    </row>
    <row r="26" spans="1:4" ht="25.5" x14ac:dyDescent="0.2">
      <c r="A26" s="263" t="s">
        <v>580</v>
      </c>
      <c r="B26" s="263" t="s">
        <v>553</v>
      </c>
    </row>
    <row r="27" spans="1:4" ht="25.5" x14ac:dyDescent="0.2">
      <c r="A27" s="263" t="s">
        <v>555</v>
      </c>
      <c r="B27" s="263" t="s">
        <v>556</v>
      </c>
    </row>
    <row r="28" spans="1:4" x14ac:dyDescent="0.2">
      <c r="A28" s="270" t="s">
        <v>539</v>
      </c>
      <c r="B28" s="269" t="s">
        <v>581</v>
      </c>
    </row>
    <row r="29" spans="1:4" x14ac:dyDescent="0.2">
      <c r="A29" s="271"/>
      <c r="B29" s="272"/>
    </row>
    <row r="30" spans="1:4" x14ac:dyDescent="0.2">
      <c r="A30" s="271"/>
      <c r="B30" s="272"/>
    </row>
    <row r="31" spans="1:4" x14ac:dyDescent="0.2">
      <c r="A31" s="271"/>
      <c r="B31" s="272"/>
    </row>
    <row r="32" spans="1:4" x14ac:dyDescent="0.2">
      <c r="A32" s="271"/>
      <c r="B32" s="272"/>
    </row>
    <row r="33" spans="1:2" x14ac:dyDescent="0.2">
      <c r="A33" s="271"/>
      <c r="B33" s="272"/>
    </row>
    <row r="34" spans="1:2" x14ac:dyDescent="0.2">
      <c r="A34" s="271"/>
      <c r="B34" s="272"/>
    </row>
    <row r="35" spans="1:2" x14ac:dyDescent="0.2">
      <c r="A35" s="271"/>
      <c r="B35" s="272"/>
    </row>
    <row r="36" spans="1:2" x14ac:dyDescent="0.2">
      <c r="A36" s="271"/>
      <c r="B36" s="272"/>
    </row>
    <row r="37" spans="1:2" x14ac:dyDescent="0.2">
      <c r="A37" s="260" t="s">
        <v>582</v>
      </c>
    </row>
    <row r="38" spans="1:2" x14ac:dyDescent="0.2">
      <c r="A38" s="14"/>
      <c r="B38" s="264"/>
    </row>
    <row r="39" spans="1:2" x14ac:dyDescent="0.2">
      <c r="A39" s="277" t="s">
        <v>593</v>
      </c>
      <c r="B39" s="67" t="s">
        <v>594</v>
      </c>
    </row>
    <row r="40" spans="1:2" ht="25.5" x14ac:dyDescent="0.2">
      <c r="A40" s="67" t="s">
        <v>196</v>
      </c>
      <c r="B40" s="263" t="s">
        <v>595</v>
      </c>
    </row>
    <row r="41" spans="1:2" x14ac:dyDescent="0.2">
      <c r="A41" s="67" t="s">
        <v>597</v>
      </c>
      <c r="B41" s="263" t="s">
        <v>596</v>
      </c>
    </row>
    <row r="42" spans="1:2" x14ac:dyDescent="0.2">
      <c r="A42" s="277" t="s">
        <v>598</v>
      </c>
      <c r="B42" s="277" t="s">
        <v>599</v>
      </c>
    </row>
    <row r="43" spans="1:2" ht="76.5" x14ac:dyDescent="0.2">
      <c r="A43" s="67" t="s">
        <v>600</v>
      </c>
      <c r="B43" s="263" t="s">
        <v>603</v>
      </c>
    </row>
    <row r="44" spans="1:2" ht="38.25" x14ac:dyDescent="0.2">
      <c r="A44" s="67" t="s">
        <v>601</v>
      </c>
      <c r="B44" s="67" t="s">
        <v>602</v>
      </c>
    </row>
  </sheetData>
  <mergeCells count="5">
    <mergeCell ref="A1:B1"/>
    <mergeCell ref="A2:B2"/>
    <mergeCell ref="A22:A23"/>
    <mergeCell ref="A8:B8"/>
    <mergeCell ref="A9:B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4"/>
  <dimension ref="A1:R29"/>
  <sheetViews>
    <sheetView zoomScale="70" zoomScaleNormal="70" workbookViewId="0"/>
  </sheetViews>
  <sheetFormatPr baseColWidth="10" defaultRowHeight="12.75" x14ac:dyDescent="0.2"/>
  <cols>
    <col min="1" max="1" width="37.5703125" style="2" customWidth="1"/>
    <col min="2" max="2" width="34.28515625" style="2" customWidth="1"/>
    <col min="3" max="3" width="35.140625" style="2" customWidth="1"/>
    <col min="4" max="4" width="31.85546875" style="3" customWidth="1"/>
    <col min="5" max="5" width="14.42578125" style="3" customWidth="1"/>
    <col min="6" max="6" width="25.5703125" style="3" hidden="1" customWidth="1"/>
    <col min="7" max="7" width="26.28515625" style="3" hidden="1" customWidth="1"/>
    <col min="8" max="8" width="16.140625" style="3" hidden="1" customWidth="1"/>
    <col min="9" max="9" width="19.42578125" style="2" customWidth="1"/>
    <col min="10" max="10" width="22.140625" style="2" customWidth="1"/>
    <col min="11" max="11" width="19.140625" style="2" customWidth="1"/>
    <col min="12" max="12" width="20" style="2" customWidth="1"/>
    <col min="13" max="13" width="19.28515625" style="2" customWidth="1"/>
    <col min="14" max="14" width="22.140625" style="2" hidden="1" customWidth="1"/>
    <col min="15" max="15" width="17.85546875" style="2" hidden="1" customWidth="1"/>
    <col min="16" max="16" width="19.140625" style="2" hidden="1" customWidth="1"/>
    <col min="17" max="17" width="18.7109375" style="2" hidden="1" customWidth="1"/>
    <col min="18" max="18" width="26.42578125" style="2" hidden="1" customWidth="1"/>
    <col min="19" max="19" width="11.42578125" style="2"/>
    <col min="20" max="20" width="11.42578125" style="2" customWidth="1"/>
    <col min="21" max="16384" width="11.42578125" style="2"/>
  </cols>
  <sheetData>
    <row r="1" spans="1:18" ht="53.25" customHeight="1" x14ac:dyDescent="0.2">
      <c r="A1" s="1"/>
      <c r="B1" s="517" t="s">
        <v>0</v>
      </c>
      <c r="C1" s="518"/>
      <c r="D1" s="518"/>
      <c r="E1" s="518"/>
      <c r="F1" s="518"/>
      <c r="G1" s="518"/>
      <c r="H1" s="518"/>
      <c r="I1" s="518"/>
      <c r="J1" s="518"/>
      <c r="K1" s="518"/>
      <c r="L1" s="518"/>
      <c r="M1" s="518"/>
      <c r="N1" s="518"/>
      <c r="O1" s="518"/>
      <c r="P1" s="518"/>
      <c r="Q1" s="518"/>
      <c r="R1" s="518"/>
    </row>
    <row r="2" spans="1:18" ht="21" customHeight="1" x14ac:dyDescent="0.2">
      <c r="A2" s="519"/>
      <c r="B2" s="521" t="s">
        <v>191</v>
      </c>
      <c r="C2" s="522"/>
      <c r="D2" s="522"/>
      <c r="E2" s="522"/>
      <c r="F2" s="522"/>
      <c r="G2" s="522"/>
      <c r="H2" s="522"/>
      <c r="I2" s="522"/>
      <c r="J2" s="522"/>
      <c r="K2" s="522"/>
      <c r="L2" s="522"/>
      <c r="M2" s="522"/>
      <c r="N2" s="522"/>
      <c r="O2" s="522"/>
      <c r="P2" s="522"/>
      <c r="Q2" s="522"/>
      <c r="R2" s="522"/>
    </row>
    <row r="3" spans="1:18" ht="16.5" customHeight="1" thickBot="1" x14ac:dyDescent="0.25">
      <c r="A3" s="520"/>
      <c r="B3" s="523"/>
      <c r="C3" s="524"/>
      <c r="D3" s="524"/>
      <c r="E3" s="524"/>
      <c r="F3" s="524"/>
      <c r="G3" s="524"/>
      <c r="H3" s="524"/>
      <c r="I3" s="524"/>
      <c r="J3" s="524"/>
      <c r="K3" s="524"/>
      <c r="L3" s="524"/>
      <c r="M3" s="524"/>
      <c r="N3" s="524"/>
      <c r="O3" s="524"/>
      <c r="P3" s="524"/>
      <c r="Q3" s="524"/>
      <c r="R3" s="524"/>
    </row>
    <row r="4" spans="1:18" ht="9.75" customHeight="1" x14ac:dyDescent="0.25">
      <c r="A4" s="525"/>
      <c r="B4" s="525"/>
      <c r="C4" s="525"/>
    </row>
    <row r="5" spans="1:18" ht="57" customHeight="1" x14ac:dyDescent="0.2">
      <c r="A5" s="513" t="s">
        <v>1</v>
      </c>
      <c r="B5" s="513" t="s">
        <v>2</v>
      </c>
      <c r="C5" s="513" t="s">
        <v>196</v>
      </c>
      <c r="D5" s="513" t="s">
        <v>4</v>
      </c>
      <c r="E5" s="513" t="s">
        <v>5</v>
      </c>
      <c r="F5" s="513" t="s">
        <v>6</v>
      </c>
      <c r="G5" s="513" t="s">
        <v>7</v>
      </c>
      <c r="H5" s="513" t="s">
        <v>8</v>
      </c>
      <c r="I5" s="513" t="s">
        <v>9</v>
      </c>
      <c r="J5" s="533" t="s">
        <v>10</v>
      </c>
      <c r="K5" s="533"/>
      <c r="L5" s="533"/>
      <c r="M5" s="533"/>
      <c r="N5" s="526" t="s">
        <v>11</v>
      </c>
      <c r="O5" s="527"/>
      <c r="P5" s="527"/>
      <c r="Q5" s="527"/>
      <c r="R5" s="528"/>
    </row>
    <row r="6" spans="1:18" ht="63" customHeight="1" x14ac:dyDescent="0.2">
      <c r="A6" s="514"/>
      <c r="B6" s="514"/>
      <c r="C6" s="514"/>
      <c r="D6" s="514"/>
      <c r="E6" s="514"/>
      <c r="F6" s="514"/>
      <c r="G6" s="514"/>
      <c r="H6" s="514"/>
      <c r="I6" s="514"/>
      <c r="J6" s="4" t="s">
        <v>587</v>
      </c>
      <c r="K6" s="4" t="s">
        <v>540</v>
      </c>
      <c r="L6" s="4" t="s">
        <v>585</v>
      </c>
      <c r="M6" s="4" t="s">
        <v>586</v>
      </c>
      <c r="N6" s="5" t="s">
        <v>16</v>
      </c>
      <c r="O6" s="5" t="s">
        <v>17</v>
      </c>
      <c r="P6" s="5" t="s">
        <v>18</v>
      </c>
      <c r="Q6" s="5" t="s">
        <v>19</v>
      </c>
      <c r="R6" s="5" t="s">
        <v>20</v>
      </c>
    </row>
    <row r="7" spans="1:18" ht="90.75" customHeight="1" x14ac:dyDescent="0.2">
      <c r="A7" s="44" t="s">
        <v>21</v>
      </c>
      <c r="B7" s="44" t="s">
        <v>22</v>
      </c>
      <c r="C7" s="44" t="s">
        <v>23</v>
      </c>
      <c r="D7" s="45" t="s">
        <v>24</v>
      </c>
      <c r="E7" s="46">
        <v>0.8</v>
      </c>
      <c r="F7" s="6" t="s">
        <v>408</v>
      </c>
      <c r="G7" s="6" t="s">
        <v>304</v>
      </c>
      <c r="H7" s="46">
        <v>0.4</v>
      </c>
      <c r="I7" s="45" t="s">
        <v>27</v>
      </c>
      <c r="J7" s="318" t="e">
        <f>+'Programa Humanizacion'!AL15</f>
        <v>#DIV/0!</v>
      </c>
      <c r="K7" s="318" t="str">
        <f>+'Programa Humanizacion'!AP12</f>
        <v>-</v>
      </c>
      <c r="L7" s="318" t="str">
        <f>+'Programa Humanizacion'!AQ12</f>
        <v>-</v>
      </c>
      <c r="M7" s="318" t="str">
        <f>+'Programa Humanizacion'!AR12</f>
        <v>-</v>
      </c>
      <c r="N7" s="37"/>
      <c r="O7" s="37">
        <f>IFERROR(IF(K7&gt;=E7,1,(K7*100%)/0),"-")</f>
        <v>1</v>
      </c>
      <c r="P7" s="37">
        <f>IFERROR(IF(L7&gt;=0.4,1,(L7*100%)/0.4),"-")</f>
        <v>1</v>
      </c>
      <c r="Q7" s="37">
        <f>IFERROR(IF(M7&gt;=0.4,1,(M7*100%)/0.4),"-")</f>
        <v>1</v>
      </c>
      <c r="R7" s="37">
        <f>IFERROR(AVERAGE(N7:Q7),"-")</f>
        <v>1</v>
      </c>
    </row>
    <row r="8" spans="1:18" ht="81" customHeight="1" x14ac:dyDescent="0.2">
      <c r="A8" s="45" t="s">
        <v>34</v>
      </c>
      <c r="B8" s="45" t="s">
        <v>35</v>
      </c>
      <c r="C8" s="45" t="s">
        <v>36</v>
      </c>
      <c r="D8" s="45" t="s">
        <v>37</v>
      </c>
      <c r="E8" s="46">
        <v>0.7</v>
      </c>
      <c r="F8" s="6" t="s">
        <v>38</v>
      </c>
      <c r="G8" s="6" t="s">
        <v>353</v>
      </c>
      <c r="H8" s="6">
        <v>0.35</v>
      </c>
      <c r="I8" s="45" t="s">
        <v>299</v>
      </c>
      <c r="J8" s="318">
        <f>+'Modelo Atención'!AV11</f>
        <v>0</v>
      </c>
      <c r="K8" s="318" t="str">
        <f>+'Modelo Atención'!BB8</f>
        <v>-</v>
      </c>
      <c r="L8" s="371" t="str">
        <f>+'Modelo Atención'!BC8</f>
        <v>-</v>
      </c>
      <c r="M8" s="371" t="str">
        <f>+'Modelo Atención'!BD8</f>
        <v>-</v>
      </c>
      <c r="N8" s="37"/>
      <c r="O8" s="37"/>
      <c r="P8" s="37" t="str">
        <f t="shared" ref="P8:P16" si="0">IFERROR((L8*100%)/H8,"-")</f>
        <v>-</v>
      </c>
      <c r="Q8" s="37" t="str">
        <f t="shared" ref="Q8:Q14" si="1">IFERROR((M8*100%)/H8,"-")</f>
        <v>-</v>
      </c>
      <c r="R8" s="37" t="str">
        <f t="shared" ref="R8:R28" si="2">IFERROR(AVERAGE(N8:Q8),"-")</f>
        <v>-</v>
      </c>
    </row>
    <row r="9" spans="1:18" ht="56.25" customHeight="1" x14ac:dyDescent="0.2">
      <c r="A9" s="501" t="s">
        <v>48</v>
      </c>
      <c r="B9" s="507" t="s">
        <v>49</v>
      </c>
      <c r="C9" s="507" t="s">
        <v>50</v>
      </c>
      <c r="D9" s="11" t="s">
        <v>51</v>
      </c>
      <c r="E9" s="11" t="s">
        <v>52</v>
      </c>
      <c r="F9" s="11"/>
      <c r="G9" s="11" t="s">
        <v>308</v>
      </c>
      <c r="H9" s="6" t="s">
        <v>310</v>
      </c>
      <c r="I9" s="11" t="s">
        <v>407</v>
      </c>
      <c r="J9" s="65" t="s">
        <v>226</v>
      </c>
      <c r="K9" s="337" t="s">
        <v>226</v>
      </c>
      <c r="L9" s="65" t="s">
        <v>226</v>
      </c>
      <c r="M9" s="10" t="str">
        <f>+IFERROR(Acreditación!AB8,"-")</f>
        <v>-</v>
      </c>
      <c r="N9" s="37" t="str">
        <f t="shared" ref="N9:N11" si="3">IFERROR((J9*100%)/H9,"-")</f>
        <v>-</v>
      </c>
      <c r="O9" s="37" t="str">
        <f t="shared" ref="O9:O16" si="4">IFERROR((K9*100%)/H9,"-")</f>
        <v>-</v>
      </c>
      <c r="P9" s="37" t="str">
        <f t="shared" si="0"/>
        <v>-</v>
      </c>
      <c r="Q9" s="37">
        <f>+IFERROR(IF(M9&gt;=1.11,100%,0)*AND(IF(M9&lt;=1.19,100%,0)),"-")</f>
        <v>0</v>
      </c>
      <c r="R9" s="37">
        <f t="shared" si="2"/>
        <v>0</v>
      </c>
    </row>
    <row r="10" spans="1:18" ht="51.75" customHeight="1" x14ac:dyDescent="0.2">
      <c r="A10" s="503"/>
      <c r="B10" s="509"/>
      <c r="C10" s="509"/>
      <c r="D10" s="11" t="s">
        <v>53</v>
      </c>
      <c r="E10" s="6">
        <v>0.75</v>
      </c>
      <c r="F10" s="11"/>
      <c r="G10" s="11"/>
      <c r="H10" s="6"/>
      <c r="I10" s="11" t="s">
        <v>54</v>
      </c>
      <c r="J10" s="318" t="str">
        <f>+'Seguridad Paciente'!BP11</f>
        <v>-</v>
      </c>
      <c r="K10" s="25" t="str">
        <f>+'Seguridad Paciente'!BQ11</f>
        <v>-</v>
      </c>
      <c r="L10" s="371" t="str">
        <f>+'Seguridad Paciente'!BR11</f>
        <v>-</v>
      </c>
      <c r="M10" s="390" t="str">
        <f>+'Seguridad Paciente'!BS11</f>
        <v>-</v>
      </c>
      <c r="N10" s="37" t="str">
        <f t="shared" si="3"/>
        <v>-</v>
      </c>
      <c r="O10" s="37" t="str">
        <f t="shared" si="4"/>
        <v>-</v>
      </c>
      <c r="P10" s="37" t="str">
        <f t="shared" si="0"/>
        <v>-</v>
      </c>
      <c r="Q10" s="37" t="str">
        <f t="shared" si="1"/>
        <v>-</v>
      </c>
      <c r="R10" s="37" t="str">
        <f t="shared" si="2"/>
        <v>-</v>
      </c>
    </row>
    <row r="11" spans="1:18" ht="51" x14ac:dyDescent="0.2">
      <c r="A11" s="45" t="s">
        <v>55</v>
      </c>
      <c r="B11" s="45" t="s">
        <v>56</v>
      </c>
      <c r="C11" s="45" t="s">
        <v>57</v>
      </c>
      <c r="D11" s="45" t="s">
        <v>58</v>
      </c>
      <c r="E11" s="46">
        <v>0.8</v>
      </c>
      <c r="F11" s="6" t="s">
        <v>303</v>
      </c>
      <c r="G11" s="6" t="s">
        <v>354</v>
      </c>
      <c r="H11" s="6">
        <v>0.4</v>
      </c>
      <c r="I11" s="45" t="s">
        <v>299</v>
      </c>
      <c r="J11" s="329" t="str">
        <f>+'Alta Complejidad'!DA8</f>
        <v>-</v>
      </c>
      <c r="K11" s="25" t="str">
        <f>+'Alta Complejidad'!DB8</f>
        <v>-</v>
      </c>
      <c r="L11" s="390" t="str">
        <f>+'Alta Complejidad'!DC8</f>
        <v>-</v>
      </c>
      <c r="M11" s="399" t="str">
        <f>+'Alta Complejidad'!DD8</f>
        <v>-</v>
      </c>
      <c r="N11" s="37" t="str">
        <f t="shared" si="3"/>
        <v>-</v>
      </c>
      <c r="O11" s="37" t="str">
        <f t="shared" si="4"/>
        <v>-</v>
      </c>
      <c r="P11" s="37" t="str">
        <f t="shared" si="0"/>
        <v>-</v>
      </c>
      <c r="Q11" s="37" t="str">
        <f t="shared" si="1"/>
        <v>-</v>
      </c>
      <c r="R11" s="37" t="str">
        <f t="shared" si="2"/>
        <v>-</v>
      </c>
    </row>
    <row r="12" spans="1:18" ht="66.75" customHeight="1" x14ac:dyDescent="0.2">
      <c r="A12" s="501" t="s">
        <v>76</v>
      </c>
      <c r="B12" s="501" t="s">
        <v>77</v>
      </c>
      <c r="C12" s="12" t="s">
        <v>78</v>
      </c>
      <c r="D12" s="11" t="s">
        <v>79</v>
      </c>
      <c r="E12" s="6">
        <v>0.9</v>
      </c>
      <c r="F12" s="11" t="s">
        <v>80</v>
      </c>
      <c r="G12" s="247" t="s">
        <v>541</v>
      </c>
      <c r="H12" s="6">
        <v>1</v>
      </c>
      <c r="I12" s="11" t="s">
        <v>81</v>
      </c>
      <c r="J12" s="318" t="str">
        <f>+PEGIF!BB26</f>
        <v>-</v>
      </c>
      <c r="K12" s="25" t="e">
        <f>+PEGIF!AF25</f>
        <v>#DIV/0!</v>
      </c>
      <c r="L12" s="389" t="str">
        <f>+PEGIF!BB26</f>
        <v>-</v>
      </c>
      <c r="M12" s="390" t="str">
        <f>+PEGIF!BC26</f>
        <v>-</v>
      </c>
      <c r="N12" s="37" t="str">
        <f>IFERROR((J12*100%)/H12,"-")</f>
        <v>-</v>
      </c>
      <c r="O12" s="37" t="str">
        <f t="shared" si="4"/>
        <v>-</v>
      </c>
      <c r="P12" s="37" t="str">
        <f t="shared" si="0"/>
        <v>-</v>
      </c>
      <c r="Q12" s="37" t="str">
        <f t="shared" si="1"/>
        <v>-</v>
      </c>
      <c r="R12" s="37" t="str">
        <f t="shared" si="2"/>
        <v>-</v>
      </c>
    </row>
    <row r="13" spans="1:18" ht="53.25" customHeight="1" x14ac:dyDescent="0.2">
      <c r="A13" s="502"/>
      <c r="B13" s="502"/>
      <c r="C13" s="12" t="s">
        <v>82</v>
      </c>
      <c r="D13" s="11" t="s">
        <v>83</v>
      </c>
      <c r="E13" s="6">
        <v>0.85</v>
      </c>
      <c r="F13" s="11" t="s">
        <v>84</v>
      </c>
      <c r="G13" s="11" t="s">
        <v>39</v>
      </c>
      <c r="H13" s="6">
        <v>0.75</v>
      </c>
      <c r="I13" s="11" t="s">
        <v>81</v>
      </c>
      <c r="J13" s="318">
        <f>+Costos!AE10</f>
        <v>0</v>
      </c>
      <c r="K13" s="25" t="e">
        <f>+Costos!#REF!</f>
        <v>#REF!</v>
      </c>
      <c r="L13" s="389">
        <f>+Costos!X10</f>
        <v>0</v>
      </c>
      <c r="M13" s="390">
        <f>+Costos!AF10</f>
        <v>0</v>
      </c>
      <c r="N13" s="37">
        <f t="shared" ref="N13:N14" si="5">IFERROR((J13*100%)/H13,"-")</f>
        <v>0</v>
      </c>
      <c r="O13" s="37" t="str">
        <f t="shared" si="4"/>
        <v>-</v>
      </c>
      <c r="P13" s="37">
        <f t="shared" si="0"/>
        <v>0</v>
      </c>
      <c r="Q13" s="37">
        <f t="shared" si="1"/>
        <v>0</v>
      </c>
      <c r="R13" s="37">
        <f t="shared" si="2"/>
        <v>0</v>
      </c>
    </row>
    <row r="14" spans="1:18" ht="75" customHeight="1" x14ac:dyDescent="0.2">
      <c r="A14" s="502"/>
      <c r="B14" s="502"/>
      <c r="C14" s="45" t="s">
        <v>85</v>
      </c>
      <c r="D14" s="45" t="s">
        <v>86</v>
      </c>
      <c r="E14" s="46">
        <v>0.8</v>
      </c>
      <c r="F14" s="11" t="s">
        <v>86</v>
      </c>
      <c r="G14" s="11" t="s">
        <v>351</v>
      </c>
      <c r="H14" s="6">
        <v>0.4</v>
      </c>
      <c r="I14" s="45" t="s">
        <v>89</v>
      </c>
      <c r="J14" s="318">
        <f>+'Prevención Daño Ant'!AH16</f>
        <v>0</v>
      </c>
      <c r="K14" s="25" t="str">
        <f>+'Prevención Daño Ant'!AG11</f>
        <v>-</v>
      </c>
      <c r="L14" s="371" t="str">
        <f>+IFERROR('Prevención Daño Ant'!X11,"-")</f>
        <v>-</v>
      </c>
      <c r="M14" s="390" t="str">
        <f>+'Prevención Daño Ant'!AF11</f>
        <v>-</v>
      </c>
      <c r="N14" s="37">
        <f t="shared" si="5"/>
        <v>0</v>
      </c>
      <c r="O14" s="37" t="str">
        <f t="shared" si="4"/>
        <v>-</v>
      </c>
      <c r="P14" s="37" t="str">
        <f t="shared" si="0"/>
        <v>-</v>
      </c>
      <c r="Q14" s="37" t="str">
        <f t="shared" si="1"/>
        <v>-</v>
      </c>
      <c r="R14" s="37">
        <f t="shared" si="2"/>
        <v>0</v>
      </c>
    </row>
    <row r="15" spans="1:18" ht="39" customHeight="1" x14ac:dyDescent="0.2">
      <c r="A15" s="503"/>
      <c r="B15" s="503"/>
      <c r="C15" s="12" t="s">
        <v>94</v>
      </c>
      <c r="D15" s="11" t="s">
        <v>95</v>
      </c>
      <c r="E15" s="6" t="s">
        <v>96</v>
      </c>
      <c r="F15" s="15" t="s">
        <v>97</v>
      </c>
      <c r="G15" s="15" t="s">
        <v>98</v>
      </c>
      <c r="H15" s="53">
        <v>0.72299999999999998</v>
      </c>
      <c r="I15" s="11" t="s">
        <v>99</v>
      </c>
      <c r="J15" s="65" t="s">
        <v>226</v>
      </c>
      <c r="K15" s="25" t="str">
        <f>+MIPG!CN8</f>
        <v>-</v>
      </c>
      <c r="L15" s="371" t="str">
        <f>+MIPG!BP8</f>
        <v>-</v>
      </c>
      <c r="M15" s="394" t="str">
        <f>+MIPG!CI8</f>
        <v>-</v>
      </c>
      <c r="N15" s="37" t="str">
        <f>IFERROR((J15*100%)/H15,"-")</f>
        <v>-</v>
      </c>
      <c r="O15" s="37" t="str">
        <f t="shared" si="4"/>
        <v>-</v>
      </c>
      <c r="P15" s="37" t="str">
        <f t="shared" si="0"/>
        <v>-</v>
      </c>
      <c r="Q15" s="37">
        <f>IF(M15&gt;H15,1,"-")</f>
        <v>1</v>
      </c>
      <c r="R15" s="37">
        <f t="shared" si="2"/>
        <v>1</v>
      </c>
    </row>
    <row r="16" spans="1:18" ht="100.5" customHeight="1" x14ac:dyDescent="0.2">
      <c r="A16" s="501" t="s">
        <v>101</v>
      </c>
      <c r="B16" s="501" t="s">
        <v>102</v>
      </c>
      <c r="C16" s="44" t="s">
        <v>103</v>
      </c>
      <c r="D16" s="45" t="s">
        <v>104</v>
      </c>
      <c r="E16" s="46">
        <v>0.8</v>
      </c>
      <c r="F16" s="11" t="s">
        <v>350</v>
      </c>
      <c r="G16" s="11" t="s">
        <v>351</v>
      </c>
      <c r="H16" s="6">
        <v>0.6</v>
      </c>
      <c r="I16" s="45" t="s">
        <v>107</v>
      </c>
      <c r="J16" s="318">
        <f>+'Integración SI'!AF14</f>
        <v>0</v>
      </c>
      <c r="K16" s="25" t="str">
        <f>+'Integración SI'!AG10</f>
        <v>-</v>
      </c>
      <c r="L16" s="371" t="str">
        <f>+'Integración SI'!AE10</f>
        <v>-</v>
      </c>
      <c r="M16" s="371" t="str">
        <f>+IFERROR('Integración SI'!AB10,"-")</f>
        <v>-</v>
      </c>
      <c r="N16" s="37">
        <f>IFERROR((J16*100%)/H16,"-")</f>
        <v>0</v>
      </c>
      <c r="O16" s="37" t="str">
        <f t="shared" si="4"/>
        <v>-</v>
      </c>
      <c r="P16" s="37" t="str">
        <f t="shared" si="0"/>
        <v>-</v>
      </c>
      <c r="Q16" s="37" t="str">
        <f>IFERROR((M16*100%)/H16,"-")</f>
        <v>-</v>
      </c>
      <c r="R16" s="37">
        <f t="shared" si="2"/>
        <v>0</v>
      </c>
    </row>
    <row r="17" spans="1:18" ht="66.75" customHeight="1" x14ac:dyDescent="0.2">
      <c r="A17" s="502"/>
      <c r="B17" s="502"/>
      <c r="C17" s="44" t="s">
        <v>113</v>
      </c>
      <c r="D17" s="45" t="s">
        <v>114</v>
      </c>
      <c r="E17" s="46">
        <v>0.8</v>
      </c>
      <c r="F17" s="11" t="s">
        <v>369</v>
      </c>
      <c r="G17" s="11" t="s">
        <v>351</v>
      </c>
      <c r="H17" s="6">
        <v>0.3</v>
      </c>
      <c r="I17" s="45" t="s">
        <v>117</v>
      </c>
      <c r="J17" s="318">
        <f>+'Construcción-Adecuación'!AD20</f>
        <v>0</v>
      </c>
      <c r="K17" s="25">
        <f>+'Construcción-Adecuación'!AG12</f>
        <v>0</v>
      </c>
      <c r="L17" s="371">
        <f>+'Construcción-Adecuación'!AE12</f>
        <v>0</v>
      </c>
      <c r="M17" s="371">
        <f>+IFERROR('Construcción-Adecuación'!AB12,"-")</f>
        <v>0</v>
      </c>
      <c r="N17" s="37">
        <f>IFERROR((J17*100%)/H17,"-")</f>
        <v>0</v>
      </c>
      <c r="O17" s="37">
        <f>IFERROR((K17*100%)/H17,"-")</f>
        <v>0</v>
      </c>
      <c r="P17" s="37">
        <f>IFERROR((L17*100%)/H17,"-")</f>
        <v>0</v>
      </c>
      <c r="Q17" s="37">
        <f>IFERROR((M17*100%)/H17,"-")</f>
        <v>0</v>
      </c>
      <c r="R17" s="37">
        <f t="shared" si="2"/>
        <v>0</v>
      </c>
    </row>
    <row r="18" spans="1:18" ht="72" customHeight="1" x14ac:dyDescent="0.2">
      <c r="A18" s="502"/>
      <c r="B18" s="502"/>
      <c r="C18" s="62" t="s">
        <v>124</v>
      </c>
      <c r="D18" s="45" t="s">
        <v>125</v>
      </c>
      <c r="E18" s="46">
        <v>0.8</v>
      </c>
      <c r="F18" s="11" t="s">
        <v>404</v>
      </c>
      <c r="G18" s="11" t="s">
        <v>351</v>
      </c>
      <c r="H18" s="6">
        <v>0.6</v>
      </c>
      <c r="I18" s="45" t="s">
        <v>129</v>
      </c>
      <c r="J18" s="318">
        <f>+'Gestión Tecnología'!AM14</f>
        <v>0</v>
      </c>
      <c r="K18" s="25" t="str">
        <f>+'Gestión Tecnología'!AS10</f>
        <v>-</v>
      </c>
      <c r="L18" s="371" t="str">
        <f>+'Gestión Tecnología'!AQ10</f>
        <v>-</v>
      </c>
      <c r="M18" s="371">
        <f>+IFERROR('Gestión Tecnología'!AN10,"-")</f>
        <v>1</v>
      </c>
      <c r="N18" s="37" t="str">
        <f>IFERROR(IF((J18*100%)=50%,1,"-"),"-")</f>
        <v>-</v>
      </c>
      <c r="O18" s="37" t="str">
        <f>IFERROR(IF((K18*100%)=50%,1,"-"),"-")</f>
        <v>-</v>
      </c>
      <c r="P18" s="37" t="str">
        <f>IFERROR(IF((L18*100%)=50%,1,"-"),"-")</f>
        <v>-</v>
      </c>
      <c r="Q18" s="37" t="str">
        <f>IFERROR(IF((M18*100%)=50%,1,"-"),"-")</f>
        <v>-</v>
      </c>
      <c r="R18" s="37" t="str">
        <f>IFERROR(AVERAGE(N18:Q18),"-")</f>
        <v>-</v>
      </c>
    </row>
    <row r="19" spans="1:18" ht="78.75" customHeight="1" x14ac:dyDescent="0.2">
      <c r="A19" s="44" t="s">
        <v>135</v>
      </c>
      <c r="B19" s="62" t="s">
        <v>136</v>
      </c>
      <c r="C19" s="62" t="s">
        <v>137</v>
      </c>
      <c r="D19" s="45" t="s">
        <v>138</v>
      </c>
      <c r="E19" s="46">
        <v>0.8</v>
      </c>
      <c r="F19" s="18" t="s">
        <v>139</v>
      </c>
      <c r="G19" s="6" t="s">
        <v>140</v>
      </c>
      <c r="H19" s="6" t="s">
        <v>141</v>
      </c>
      <c r="I19" s="46" t="s">
        <v>142</v>
      </c>
      <c r="J19" s="318">
        <f>+PEGITH!AE33</f>
        <v>0</v>
      </c>
      <c r="K19" s="25" t="str">
        <f>+PEGITH!AG18</f>
        <v>-</v>
      </c>
      <c r="L19" s="371" t="str">
        <f>+PEGITH!AE18</f>
        <v>-</v>
      </c>
      <c r="M19" s="371" t="str">
        <f>+PEGITH!AF18</f>
        <v>-</v>
      </c>
      <c r="N19" s="37" t="str">
        <f>IFERROR(IF((J19*100%)&gt;=90%,1,"-"),"-")</f>
        <v>-</v>
      </c>
      <c r="O19" s="37" t="str">
        <f>IFERROR(IF((K19*100%)&gt;=90%,1,"-"),"-")</f>
        <v>-</v>
      </c>
      <c r="P19" s="37" t="str">
        <f>IFERROR(IF((L19*100%)&gt;=90%,1,"-"),"-")</f>
        <v>-</v>
      </c>
      <c r="Q19" s="37" t="str">
        <f>IFERROR(IF((M19*100%)&gt;=90%,1,"-"),"-")</f>
        <v>-</v>
      </c>
      <c r="R19" s="37" t="str">
        <f t="shared" si="2"/>
        <v>-</v>
      </c>
    </row>
    <row r="20" spans="1:18" ht="58.5" customHeight="1" x14ac:dyDescent="0.2">
      <c r="A20" s="501" t="s">
        <v>145</v>
      </c>
      <c r="B20" s="504" t="s">
        <v>146</v>
      </c>
      <c r="C20" s="19" t="s">
        <v>147</v>
      </c>
      <c r="D20" s="11" t="s">
        <v>148</v>
      </c>
      <c r="E20" s="6" t="s">
        <v>149</v>
      </c>
      <c r="F20" s="18" t="s">
        <v>150</v>
      </c>
      <c r="G20" s="18" t="s">
        <v>150</v>
      </c>
      <c r="H20" s="20">
        <v>1</v>
      </c>
      <c r="I20" s="6" t="s">
        <v>151</v>
      </c>
      <c r="J20" s="397">
        <f>+'ISO 140012015'!AD8</f>
        <v>0</v>
      </c>
      <c r="K20" s="25">
        <f>+'ISO 140012015'!AG8</f>
        <v>0</v>
      </c>
      <c r="L20" s="371">
        <f>+IFERROR('ISO 140012015'!X8,"-")</f>
        <v>0</v>
      </c>
      <c r="M20" s="394">
        <f>+'ISO 140012015'!AB8</f>
        <v>0</v>
      </c>
      <c r="N20" s="37">
        <f>IFERROR((J20*100%)/H20,"-")</f>
        <v>0</v>
      </c>
      <c r="O20" s="37">
        <f t="shared" ref="O20:O24" si="6">IFERROR((K20*100%)/H20,"-")</f>
        <v>0</v>
      </c>
      <c r="P20" s="37">
        <f t="shared" ref="P20:P24" si="7">IFERROR((L20*100%)/H20,"-")</f>
        <v>0</v>
      </c>
      <c r="Q20" s="37" t="str">
        <f>IF(M20=1,1,"-")</f>
        <v>-</v>
      </c>
      <c r="R20" s="37">
        <f t="shared" si="2"/>
        <v>0</v>
      </c>
    </row>
    <row r="21" spans="1:18" ht="45.75" customHeight="1" x14ac:dyDescent="0.2">
      <c r="A21" s="502"/>
      <c r="B21" s="505"/>
      <c r="C21" s="19" t="s">
        <v>152</v>
      </c>
      <c r="D21" s="11" t="s">
        <v>153</v>
      </c>
      <c r="E21" s="6" t="s">
        <v>149</v>
      </c>
      <c r="F21" s="18" t="s">
        <v>155</v>
      </c>
      <c r="G21" s="18" t="s">
        <v>155</v>
      </c>
      <c r="H21" s="20">
        <v>1</v>
      </c>
      <c r="I21" s="6" t="s">
        <v>156</v>
      </c>
      <c r="J21" s="397">
        <f>+'ISO 450012018'!AD8</f>
        <v>0</v>
      </c>
      <c r="K21" s="25">
        <f>+'ISO 450012018'!AG8</f>
        <v>0</v>
      </c>
      <c r="L21" s="371">
        <f>+'ISO 450012018'!X8</f>
        <v>0</v>
      </c>
      <c r="M21" s="394">
        <f>+'ISO 450012018'!AB8</f>
        <v>0</v>
      </c>
      <c r="N21" s="37">
        <f t="shared" ref="N21:N28" si="8">IFERROR((J21*100%)/H21,"-")</f>
        <v>0</v>
      </c>
      <c r="O21" s="37">
        <f t="shared" si="6"/>
        <v>0</v>
      </c>
      <c r="P21" s="37">
        <f t="shared" si="7"/>
        <v>0</v>
      </c>
      <c r="Q21" s="37" t="str">
        <f>IF(M21=1,1,"-")</f>
        <v>-</v>
      </c>
      <c r="R21" s="37">
        <f t="shared" si="2"/>
        <v>0</v>
      </c>
    </row>
    <row r="22" spans="1:18" ht="42" customHeight="1" x14ac:dyDescent="0.2">
      <c r="A22" s="502"/>
      <c r="B22" s="505"/>
      <c r="C22" s="19" t="s">
        <v>157</v>
      </c>
      <c r="D22" s="11" t="s">
        <v>158</v>
      </c>
      <c r="E22" s="6" t="s">
        <v>149</v>
      </c>
      <c r="F22" s="18" t="s">
        <v>159</v>
      </c>
      <c r="G22" s="18" t="s">
        <v>159</v>
      </c>
      <c r="H22" s="20">
        <v>1</v>
      </c>
      <c r="I22" s="6" t="s">
        <v>160</v>
      </c>
      <c r="J22" s="397">
        <f>+'ISO 90012015'!AD9</f>
        <v>0</v>
      </c>
      <c r="K22" s="25">
        <f>+'ISO 90012015'!AG9</f>
        <v>0</v>
      </c>
      <c r="L22" s="371">
        <f>+'ISO 90012015'!X9</f>
        <v>0</v>
      </c>
      <c r="M22" s="394">
        <f>+'ISO 90012015'!AB9</f>
        <v>0</v>
      </c>
      <c r="N22" s="37">
        <f t="shared" si="8"/>
        <v>0</v>
      </c>
      <c r="O22" s="37">
        <f t="shared" si="6"/>
        <v>0</v>
      </c>
      <c r="P22" s="37">
        <f t="shared" si="7"/>
        <v>0</v>
      </c>
      <c r="Q22" s="37" t="str">
        <f>IF(M22=1,1,"-")</f>
        <v>-</v>
      </c>
      <c r="R22" s="37">
        <f t="shared" si="2"/>
        <v>0</v>
      </c>
    </row>
    <row r="23" spans="1:18" ht="39" customHeight="1" x14ac:dyDescent="0.2">
      <c r="A23" s="502"/>
      <c r="B23" s="505"/>
      <c r="C23" s="504" t="s">
        <v>161</v>
      </c>
      <c r="D23" s="11" t="s">
        <v>162</v>
      </c>
      <c r="E23" s="6" t="s">
        <v>154</v>
      </c>
      <c r="F23" s="18" t="s">
        <v>163</v>
      </c>
      <c r="G23" s="18" t="s">
        <v>163</v>
      </c>
      <c r="H23" s="20">
        <v>1</v>
      </c>
      <c r="I23" s="510" t="s">
        <v>566</v>
      </c>
      <c r="J23" s="130" t="s">
        <v>226</v>
      </c>
      <c r="K23" s="25">
        <f>+'BPE - BPM'!T9</f>
        <v>0</v>
      </c>
      <c r="L23" s="371">
        <f>+'BPE - BPM'!AE7</f>
        <v>0</v>
      </c>
      <c r="M23" s="394" t="e">
        <f>+'BPE - BPM'!#REF!</f>
        <v>#REF!</v>
      </c>
      <c r="N23" s="37" t="str">
        <f t="shared" si="8"/>
        <v>-</v>
      </c>
      <c r="O23" s="37">
        <f t="shared" si="6"/>
        <v>0</v>
      </c>
      <c r="P23" s="37">
        <f t="shared" si="7"/>
        <v>0</v>
      </c>
      <c r="Q23" s="37" t="e">
        <f>IF(M23=1,1,"-")</f>
        <v>#REF!</v>
      </c>
      <c r="R23" s="37" t="str">
        <f t="shared" si="2"/>
        <v>-</v>
      </c>
    </row>
    <row r="24" spans="1:18" ht="39" customHeight="1" x14ac:dyDescent="0.2">
      <c r="A24" s="503"/>
      <c r="B24" s="506"/>
      <c r="C24" s="506"/>
      <c r="D24" s="11" t="s">
        <v>165</v>
      </c>
      <c r="E24" s="6" t="s">
        <v>149</v>
      </c>
      <c r="F24" s="18" t="s">
        <v>166</v>
      </c>
      <c r="G24" s="18" t="s">
        <v>166</v>
      </c>
      <c r="H24" s="20">
        <v>1</v>
      </c>
      <c r="I24" s="512"/>
      <c r="J24" s="398">
        <v>0</v>
      </c>
      <c r="K24" s="25">
        <f>+BPM!P8</f>
        <v>0</v>
      </c>
      <c r="L24" s="371" t="e">
        <f>+'BPE - BPM'!#REF!</f>
        <v>#REF!</v>
      </c>
      <c r="M24" s="395">
        <f>+'BPE - BPM'!AB7</f>
        <v>0</v>
      </c>
      <c r="N24" s="37">
        <f t="shared" si="8"/>
        <v>0</v>
      </c>
      <c r="O24" s="37">
        <f t="shared" si="6"/>
        <v>0</v>
      </c>
      <c r="P24" s="37" t="str">
        <f t="shared" si="7"/>
        <v>-</v>
      </c>
      <c r="Q24" s="37" t="str">
        <f>IF(M24=1,1,"-")</f>
        <v>-</v>
      </c>
      <c r="R24" s="37">
        <f t="shared" si="2"/>
        <v>0</v>
      </c>
    </row>
    <row r="25" spans="1:18" ht="84" customHeight="1" x14ac:dyDescent="0.2">
      <c r="A25" s="501" t="s">
        <v>167</v>
      </c>
      <c r="B25" s="504" t="s">
        <v>168</v>
      </c>
      <c r="C25" s="62" t="s">
        <v>169</v>
      </c>
      <c r="D25" s="45" t="s">
        <v>170</v>
      </c>
      <c r="E25" s="46">
        <v>0.9</v>
      </c>
      <c r="F25" s="11" t="s">
        <v>405</v>
      </c>
      <c r="G25" s="6" t="s">
        <v>406</v>
      </c>
      <c r="H25" s="6">
        <v>0.5</v>
      </c>
      <c r="I25" s="510" t="s">
        <v>174</v>
      </c>
      <c r="J25" s="318">
        <f>+'Gestion Investigación'!AC14</f>
        <v>0</v>
      </c>
      <c r="K25" s="25">
        <f>+'Gestion Investigación'!AD14</f>
        <v>0</v>
      </c>
      <c r="L25" s="371">
        <f>+'Gestion Investigación'!AE14</f>
        <v>0</v>
      </c>
      <c r="M25" s="390">
        <f>+'Gestion Investigación'!AF14</f>
        <v>0</v>
      </c>
      <c r="N25" s="37" t="str">
        <f>IFERROR(IF((J25*100%)&gt;=1%,1,"-"),"-")</f>
        <v>-</v>
      </c>
      <c r="O25" s="37" t="str">
        <f>IFERROR(IF((K25*100%)&gt;=1%,1,"-"),"-")</f>
        <v>-</v>
      </c>
      <c r="P25" s="37" t="str">
        <f>IFERROR(IF((L25*100%)&gt;=1%,1,"-"),"-")</f>
        <v>-</v>
      </c>
      <c r="Q25" s="37" t="str">
        <f>IFERROR(IF((M25*100%)&gt;=1%,1,"-"),"-")</f>
        <v>-</v>
      </c>
      <c r="R25" s="37" t="str">
        <f t="shared" si="2"/>
        <v>-</v>
      </c>
    </row>
    <row r="26" spans="1:18" ht="39" customHeight="1" x14ac:dyDescent="0.2">
      <c r="A26" s="502"/>
      <c r="B26" s="505"/>
      <c r="C26" s="22" t="s">
        <v>181</v>
      </c>
      <c r="D26" s="11" t="s">
        <v>182</v>
      </c>
      <c r="E26" s="6">
        <v>0.7</v>
      </c>
      <c r="F26" s="18" t="s">
        <v>171</v>
      </c>
      <c r="G26" s="6" t="s">
        <v>172</v>
      </c>
      <c r="H26" s="6">
        <v>0.3</v>
      </c>
      <c r="I26" s="511"/>
      <c r="J26" s="318">
        <v>0</v>
      </c>
      <c r="K26" s="25">
        <v>0</v>
      </c>
      <c r="L26" s="7" t="str">
        <f>+IFERROR('Líneas Investigación'!T8,"-")</f>
        <v>-</v>
      </c>
      <c r="M26" s="371">
        <f>+'Gestion Investigación'!Y11</f>
        <v>0</v>
      </c>
      <c r="N26" s="37">
        <f t="shared" si="8"/>
        <v>0</v>
      </c>
      <c r="O26" s="37">
        <f t="shared" ref="O26:O28" si="9">IFERROR((K26*100%)/H26,"-")</f>
        <v>0</v>
      </c>
      <c r="P26" s="37" t="str">
        <f t="shared" ref="P26:P28" si="10">IFERROR((L26*100%)/H26,"-")</f>
        <v>-</v>
      </c>
      <c r="Q26" s="37">
        <f t="shared" ref="Q26" si="11">IFERROR((M26*100%)/H26,"-")</f>
        <v>0</v>
      </c>
      <c r="R26" s="37">
        <f t="shared" si="2"/>
        <v>0</v>
      </c>
    </row>
    <row r="27" spans="1:18" ht="39" customHeight="1" x14ac:dyDescent="0.2">
      <c r="A27" s="502"/>
      <c r="B27" s="505"/>
      <c r="C27" s="22" t="s">
        <v>183</v>
      </c>
      <c r="D27" s="11" t="s">
        <v>184</v>
      </c>
      <c r="E27" s="21">
        <v>2</v>
      </c>
      <c r="F27" s="18" t="s">
        <v>185</v>
      </c>
      <c r="G27" s="11" t="s">
        <v>186</v>
      </c>
      <c r="H27" s="20">
        <v>1</v>
      </c>
      <c r="I27" s="511"/>
      <c r="J27" s="318">
        <v>0</v>
      </c>
      <c r="K27" s="25">
        <v>0</v>
      </c>
      <c r="L27" s="21" t="str">
        <f>+Congresos!T8</f>
        <v>-</v>
      </c>
      <c r="M27" s="396">
        <f>+'Gestion Investigación'!AB12</f>
        <v>0</v>
      </c>
      <c r="N27" s="37">
        <f>IFERROR((J27*100%)/H27,"-")</f>
        <v>0</v>
      </c>
      <c r="O27" s="37">
        <f t="shared" si="9"/>
        <v>0</v>
      </c>
      <c r="P27" s="37" t="str">
        <f t="shared" si="10"/>
        <v>-</v>
      </c>
      <c r="Q27" s="37" t="str">
        <f>IF(M27=1,1,"-")</f>
        <v>-</v>
      </c>
      <c r="R27" s="37">
        <f t="shared" si="2"/>
        <v>0</v>
      </c>
    </row>
    <row r="28" spans="1:18" ht="84.75" customHeight="1" x14ac:dyDescent="0.2">
      <c r="A28" s="503"/>
      <c r="B28" s="506"/>
      <c r="C28" s="22" t="s">
        <v>187</v>
      </c>
      <c r="D28" s="11" t="s">
        <v>188</v>
      </c>
      <c r="E28" s="21">
        <v>1</v>
      </c>
      <c r="F28" s="18" t="s">
        <v>189</v>
      </c>
      <c r="G28" s="11" t="s">
        <v>190</v>
      </c>
      <c r="H28" s="20">
        <v>1</v>
      </c>
      <c r="I28" s="512"/>
      <c r="J28" s="391">
        <v>0</v>
      </c>
      <c r="K28" s="25">
        <v>0</v>
      </c>
      <c r="L28" s="21" t="str">
        <f>+IFERROR('Alianzas Estratégicas'!T8,"-")</f>
        <v>-</v>
      </c>
      <c r="M28" s="396">
        <f>+'Gestion Investigación'!AB13</f>
        <v>0</v>
      </c>
      <c r="N28" s="37">
        <f t="shared" si="8"/>
        <v>0</v>
      </c>
      <c r="O28" s="37">
        <f t="shared" si="9"/>
        <v>0</v>
      </c>
      <c r="P28" s="37" t="str">
        <f t="shared" si="10"/>
        <v>-</v>
      </c>
      <c r="Q28" s="37" t="str">
        <f>IF(M28=1,1,"-")</f>
        <v>-</v>
      </c>
      <c r="R28" s="37">
        <f t="shared" si="2"/>
        <v>0</v>
      </c>
    </row>
    <row r="29" spans="1:18" ht="45.6" customHeight="1" x14ac:dyDescent="0.2">
      <c r="A29" s="498">
        <v>0</v>
      </c>
      <c r="B29" s="499"/>
      <c r="C29" s="499"/>
      <c r="D29" s="499"/>
      <c r="E29" s="499"/>
      <c r="F29" s="499"/>
      <c r="G29" s="499"/>
      <c r="H29" s="499"/>
      <c r="I29" s="499"/>
      <c r="J29" s="499"/>
      <c r="K29" s="285" t="str">
        <f>IFERROR(+AVERAGE(K7:K28),"-")</f>
        <v>-</v>
      </c>
      <c r="L29" s="285" t="str">
        <f>IFERROR(+AVERAGE(L7:L28),"-")</f>
        <v>-</v>
      </c>
      <c r="M29" s="285" t="str">
        <f>IFERROR(+AVERAGE(M7:M28),"-")</f>
        <v>-</v>
      </c>
      <c r="N29" s="37">
        <f>+IFERROR(AVERAGE(N7:N28),"-")</f>
        <v>0</v>
      </c>
      <c r="O29" s="37">
        <f t="shared" ref="O29:R29" si="12">+IFERROR(AVERAGE(O7:O28),"-")</f>
        <v>0.1</v>
      </c>
      <c r="P29" s="37">
        <f t="shared" si="12"/>
        <v>0.14285714285714285</v>
      </c>
      <c r="Q29" s="37" t="str">
        <f t="shared" si="12"/>
        <v>-</v>
      </c>
      <c r="R29" s="37">
        <f t="shared" si="12"/>
        <v>0.14285714285714285</v>
      </c>
    </row>
  </sheetData>
  <mergeCells count="30">
    <mergeCell ref="N5:R5"/>
    <mergeCell ref="B1:R1"/>
    <mergeCell ref="A2:A3"/>
    <mergeCell ref="B2:R3"/>
    <mergeCell ref="A4:C4"/>
    <mergeCell ref="A5:A6"/>
    <mergeCell ref="B5:B6"/>
    <mergeCell ref="C5:C6"/>
    <mergeCell ref="D5:D6"/>
    <mergeCell ref="E5:E6"/>
    <mergeCell ref="F5:F6"/>
    <mergeCell ref="G5:G6"/>
    <mergeCell ref="H5:H6"/>
    <mergeCell ref="I5:I6"/>
    <mergeCell ref="J5:M5"/>
    <mergeCell ref="A16:A18"/>
    <mergeCell ref="B16:B18"/>
    <mergeCell ref="A9:A10"/>
    <mergeCell ref="B9:B10"/>
    <mergeCell ref="C9:C10"/>
    <mergeCell ref="A12:A15"/>
    <mergeCell ref="B12:B15"/>
    <mergeCell ref="A29:J29"/>
    <mergeCell ref="A20:A24"/>
    <mergeCell ref="B20:B24"/>
    <mergeCell ref="C23:C24"/>
    <mergeCell ref="I23:I24"/>
    <mergeCell ref="A25:A28"/>
    <mergeCell ref="B25:B28"/>
    <mergeCell ref="I25:I28"/>
  </mergeCells>
  <conditionalFormatting sqref="K9:K28">
    <cfRule type="cellIs" dxfId="95" priority="4" operator="lessThan">
      <formula>0.6</formula>
    </cfRule>
    <cfRule type="cellIs" dxfId="94" priority="5" operator="between">
      <formula>60%</formula>
      <formula>80%</formula>
    </cfRule>
    <cfRule type="cellIs" dxfId="93" priority="6" operator="between">
      <formula>81%</formula>
      <formula>100%</formula>
    </cfRule>
  </conditionalFormatting>
  <conditionalFormatting sqref="N7:R29">
    <cfRule type="cellIs" dxfId="92" priority="34" operator="lessThan">
      <formula>0.6</formula>
    </cfRule>
    <cfRule type="cellIs" dxfId="91" priority="35" operator="between">
      <formula>60%</formula>
      <formula>79%</formula>
    </cfRule>
    <cfRule type="cellIs" dxfId="90" priority="36" operator="between">
      <formula>80%</formula>
      <formula>100%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W19"/>
  <sheetViews>
    <sheetView tabSelected="1" zoomScale="85" zoomScaleNormal="85" zoomScaleSheetLayoutView="80" workbookViewId="0"/>
  </sheetViews>
  <sheetFormatPr baseColWidth="10" defaultColWidth="11.42578125" defaultRowHeight="15" x14ac:dyDescent="0.25"/>
  <cols>
    <col min="1" max="1" width="1.42578125" style="106" customWidth="1"/>
    <col min="2" max="2" width="16" style="106" customWidth="1"/>
    <col min="3" max="3" width="24.7109375" style="106" customWidth="1"/>
    <col min="4" max="4" width="12.5703125" style="106" customWidth="1"/>
    <col min="5" max="5" width="5.7109375" style="106" customWidth="1"/>
    <col min="6" max="6" width="11.28515625" style="106" customWidth="1"/>
    <col min="7" max="7" width="9.7109375" style="106" customWidth="1"/>
    <col min="8" max="8" width="16.28515625" style="106" customWidth="1"/>
    <col min="9" max="9" width="14" style="106" customWidth="1"/>
    <col min="10" max="10" width="15.28515625" style="106" customWidth="1"/>
    <col min="11" max="11" width="8" style="106" customWidth="1"/>
    <col min="12" max="12" width="12.28515625" style="106" customWidth="1"/>
    <col min="13" max="13" width="1.140625" style="106" customWidth="1"/>
    <col min="14" max="14" width="8.85546875" style="106" customWidth="1"/>
    <col min="15" max="15" width="14.5703125" style="106" customWidth="1"/>
    <col min="16" max="16" width="13.28515625" style="106" customWidth="1"/>
    <col min="17" max="17" width="15.28515625" style="106" customWidth="1"/>
    <col min="18" max="18" width="5.140625" style="106" customWidth="1"/>
    <col min="19" max="19" width="8.7109375" style="380" customWidth="1"/>
    <col min="20" max="20" width="10.140625" style="106" customWidth="1"/>
    <col min="21" max="21" width="6.5703125" style="106" customWidth="1"/>
    <col min="22" max="22" width="9" style="106" customWidth="1"/>
    <col min="23" max="16384" width="11.42578125" style="106"/>
  </cols>
  <sheetData>
    <row r="1" spans="2:23" ht="15.75" thickBot="1" x14ac:dyDescent="0.3"/>
    <row r="2" spans="2:23" ht="45" customHeight="1" thickBot="1" x14ac:dyDescent="0.3">
      <c r="B2" s="534" t="s">
        <v>844</v>
      </c>
      <c r="C2" s="535"/>
      <c r="D2" s="535"/>
      <c r="E2" s="535"/>
      <c r="F2" s="535"/>
      <c r="G2" s="535"/>
      <c r="H2" s="535"/>
      <c r="I2" s="535"/>
      <c r="J2" s="535"/>
      <c r="K2" s="535"/>
      <c r="L2" s="535"/>
      <c r="M2" s="535"/>
      <c r="N2" s="535"/>
      <c r="O2" s="535"/>
      <c r="P2" s="535"/>
      <c r="Q2" s="535"/>
      <c r="R2" s="535"/>
      <c r="S2" s="535"/>
      <c r="T2" s="535"/>
      <c r="U2" s="535"/>
      <c r="V2" s="536"/>
    </row>
    <row r="3" spans="2:23" ht="15.75" x14ac:dyDescent="0.25">
      <c r="B3" s="78"/>
      <c r="C3" s="79"/>
      <c r="D3" s="79"/>
      <c r="E3" s="79"/>
      <c r="F3" s="79"/>
      <c r="G3" s="79"/>
      <c r="H3" s="78"/>
      <c r="I3" s="79"/>
      <c r="J3" s="79"/>
      <c r="K3" s="79"/>
      <c r="L3" s="79"/>
      <c r="M3" s="79"/>
      <c r="N3" s="80"/>
      <c r="O3" s="78"/>
      <c r="P3" s="79"/>
      <c r="Q3" s="79"/>
      <c r="R3" s="79"/>
      <c r="S3" s="381"/>
      <c r="T3" s="79"/>
      <c r="U3" s="79"/>
      <c r="V3" s="80"/>
      <c r="W3" s="114"/>
    </row>
    <row r="4" spans="2:23" ht="15.75" x14ac:dyDescent="0.25">
      <c r="B4" s="81" t="s">
        <v>355</v>
      </c>
      <c r="C4" s="82"/>
      <c r="D4" s="82"/>
      <c r="E4" s="82"/>
      <c r="F4" s="82"/>
      <c r="G4" s="83">
        <f>IFERROR(AVERAGE(F6:F10),"-")</f>
        <v>0</v>
      </c>
      <c r="H4" s="81" t="s">
        <v>356</v>
      </c>
      <c r="I4" s="104"/>
      <c r="J4" s="104"/>
      <c r="K4" s="82"/>
      <c r="L4" s="82"/>
      <c r="M4" s="82"/>
      <c r="N4" s="137">
        <f>IFERROR(AVERAGE(L6:L11),"-")</f>
        <v>0</v>
      </c>
      <c r="O4" s="81" t="s">
        <v>357</v>
      </c>
      <c r="P4" s="104"/>
      <c r="Q4" s="104"/>
      <c r="R4" s="82"/>
      <c r="S4" s="382"/>
      <c r="T4" s="82"/>
      <c r="U4" s="82"/>
      <c r="V4" s="84">
        <f>AVERAGE(S6:S13)</f>
        <v>0</v>
      </c>
      <c r="W4" s="115"/>
    </row>
    <row r="5" spans="2:23" ht="15.75" x14ac:dyDescent="0.25">
      <c r="B5" s="85"/>
      <c r="C5" s="82"/>
      <c r="D5" s="82"/>
      <c r="E5" s="82"/>
      <c r="F5" s="82"/>
      <c r="G5" s="82"/>
      <c r="H5" s="85"/>
      <c r="I5" s="82"/>
      <c r="J5" s="82"/>
      <c r="K5" s="82"/>
      <c r="L5" s="82"/>
      <c r="M5" s="82"/>
      <c r="N5" s="86"/>
      <c r="O5" s="85"/>
      <c r="P5" s="82"/>
      <c r="Q5" s="82"/>
      <c r="R5" s="82"/>
      <c r="S5" s="382"/>
      <c r="T5" s="82"/>
      <c r="U5" s="82"/>
      <c r="V5" s="86"/>
      <c r="W5" s="115"/>
    </row>
    <row r="6" spans="2:23" ht="37.5" customHeight="1" x14ac:dyDescent="0.25">
      <c r="B6" s="541" t="s">
        <v>216</v>
      </c>
      <c r="C6" s="542"/>
      <c r="D6" s="542"/>
      <c r="E6" s="87"/>
      <c r="F6" s="132" t="str">
        <f>+PEGIF!BC26</f>
        <v>-</v>
      </c>
      <c r="G6" s="87"/>
      <c r="H6" s="545" t="s">
        <v>35</v>
      </c>
      <c r="I6" s="546"/>
      <c r="J6" s="546"/>
      <c r="K6" s="112"/>
      <c r="L6" s="551" t="str">
        <f>+'Modelo Atención'!BA8</f>
        <v>-</v>
      </c>
      <c r="M6" s="87"/>
      <c r="N6" s="88"/>
      <c r="O6" s="547" t="s">
        <v>94</v>
      </c>
      <c r="P6" s="548"/>
      <c r="Q6" s="548"/>
      <c r="R6" s="89"/>
      <c r="S6" s="379" t="str">
        <f>+MIPG!CJ8</f>
        <v>-</v>
      </c>
      <c r="T6" s="82"/>
      <c r="U6" s="82"/>
      <c r="V6" s="86"/>
      <c r="W6" s="115"/>
    </row>
    <row r="7" spans="2:23" ht="30" customHeight="1" x14ac:dyDescent="0.25">
      <c r="B7" s="541" t="s">
        <v>82</v>
      </c>
      <c r="C7" s="542"/>
      <c r="D7" s="542"/>
      <c r="E7" s="87"/>
      <c r="F7" s="132">
        <f>+Costos!AF10</f>
        <v>0</v>
      </c>
      <c r="G7" s="87"/>
      <c r="H7" s="545"/>
      <c r="I7" s="546"/>
      <c r="J7" s="546"/>
      <c r="K7" s="112"/>
      <c r="L7" s="552"/>
      <c r="M7" s="87"/>
      <c r="N7" s="90"/>
      <c r="O7" s="549" t="s">
        <v>103</v>
      </c>
      <c r="P7" s="550"/>
      <c r="Q7" s="550"/>
      <c r="R7" s="87"/>
      <c r="S7" s="379" t="str">
        <f>+'Integración SI'!AC10</f>
        <v>-</v>
      </c>
      <c r="T7" s="91"/>
      <c r="U7" s="82"/>
      <c r="V7" s="86"/>
      <c r="W7" s="115"/>
    </row>
    <row r="8" spans="2:23" ht="41.25" customHeight="1" x14ac:dyDescent="0.25">
      <c r="B8" s="541" t="s">
        <v>85</v>
      </c>
      <c r="C8" s="542"/>
      <c r="D8" s="542"/>
      <c r="E8" s="87"/>
      <c r="F8" s="132" t="str">
        <f>+'Prevención Daño Ant'!AC11</f>
        <v>-</v>
      </c>
      <c r="G8" s="87"/>
      <c r="H8" s="545" t="s">
        <v>410</v>
      </c>
      <c r="I8" s="546"/>
      <c r="J8" s="546"/>
      <c r="K8" s="87"/>
      <c r="L8" s="497" t="str">
        <f>+'Seguridad Paciente'!BP11</f>
        <v>-</v>
      </c>
      <c r="M8" s="87"/>
      <c r="N8" s="90"/>
      <c r="O8" s="541" t="s">
        <v>412</v>
      </c>
      <c r="P8" s="542"/>
      <c r="Q8" s="542"/>
      <c r="R8" s="87"/>
      <c r="S8" s="379" t="str">
        <f>+'Gestión Tecnología'!AO10</f>
        <v>-</v>
      </c>
      <c r="T8" s="82"/>
      <c r="U8" s="82"/>
      <c r="V8" s="86"/>
      <c r="W8" s="115"/>
    </row>
    <row r="9" spans="2:23" ht="28.5" customHeight="1" x14ac:dyDescent="0.25">
      <c r="B9" s="543" t="s">
        <v>409</v>
      </c>
      <c r="C9" s="544"/>
      <c r="D9" s="544"/>
      <c r="E9" s="87"/>
      <c r="F9" s="132">
        <f>+'Construcción-Adecuación'!AC12</f>
        <v>0</v>
      </c>
      <c r="G9" s="87"/>
      <c r="H9" s="541" t="s">
        <v>411</v>
      </c>
      <c r="I9" s="542"/>
      <c r="J9" s="542"/>
      <c r="K9" s="113"/>
      <c r="L9" s="497" t="str">
        <f>+'Alta Complejidad'!DA8</f>
        <v>-</v>
      </c>
      <c r="M9" s="87"/>
      <c r="N9" s="90"/>
      <c r="O9" s="541" t="s">
        <v>690</v>
      </c>
      <c r="P9" s="542"/>
      <c r="Q9" s="542"/>
      <c r="R9" s="92"/>
      <c r="S9" s="379">
        <f>+'ISO 140012015'!AC8</f>
        <v>0</v>
      </c>
      <c r="T9" s="82"/>
      <c r="U9" s="82"/>
      <c r="V9" s="86"/>
      <c r="W9" s="115"/>
    </row>
    <row r="10" spans="2:23" ht="43.5" customHeight="1" x14ac:dyDescent="0.25">
      <c r="B10" s="543" t="s">
        <v>387</v>
      </c>
      <c r="C10" s="544"/>
      <c r="D10" s="544"/>
      <c r="E10" s="87"/>
      <c r="F10" s="132" t="str">
        <f>+PEGITH!AC18</f>
        <v>-</v>
      </c>
      <c r="G10" s="87"/>
      <c r="H10" s="549" t="s">
        <v>689</v>
      </c>
      <c r="I10" s="550"/>
      <c r="J10" s="550"/>
      <c r="K10"/>
      <c r="L10" s="497">
        <f>+'BPE - BPM'!AC9</f>
        <v>0</v>
      </c>
      <c r="M10" s="87"/>
      <c r="N10" s="90"/>
      <c r="O10" s="553" t="s">
        <v>691</v>
      </c>
      <c r="P10" s="553"/>
      <c r="Q10" s="553"/>
      <c r="R10" s="87"/>
      <c r="S10" s="379">
        <f>+'ISO 450012018'!AC8</f>
        <v>0</v>
      </c>
      <c r="T10" s="82"/>
      <c r="U10" s="82"/>
      <c r="V10" s="86"/>
      <c r="W10" s="115"/>
    </row>
    <row r="11" spans="2:23" ht="44.25" customHeight="1" x14ac:dyDescent="0.25">
      <c r="B11" s="93"/>
      <c r="C11" s="87"/>
      <c r="D11" s="87"/>
      <c r="E11" s="87"/>
      <c r="F11" s="87"/>
      <c r="G11" s="87"/>
      <c r="H11" s="549" t="s">
        <v>698</v>
      </c>
      <c r="I11" s="550"/>
      <c r="J11" s="550"/>
      <c r="K11"/>
      <c r="L11" s="497" t="str">
        <f>+'Programa Humanizacion'!AO12</f>
        <v>-</v>
      </c>
      <c r="M11" s="87"/>
      <c r="N11" s="90"/>
      <c r="O11" s="541" t="s">
        <v>157</v>
      </c>
      <c r="P11" s="542"/>
      <c r="Q11" s="542"/>
      <c r="R11" s="82"/>
      <c r="S11" s="383">
        <f>+'ISO 90012015'!AC9</f>
        <v>0</v>
      </c>
      <c r="T11" s="82"/>
      <c r="U11" s="82"/>
      <c r="V11" s="86"/>
      <c r="W11" s="115"/>
    </row>
    <row r="12" spans="2:23" ht="85.5" customHeight="1" x14ac:dyDescent="0.25">
      <c r="B12" s="93"/>
      <c r="C12" s="87"/>
      <c r="D12" s="87"/>
      <c r="E12" s="87"/>
      <c r="F12" s="87"/>
      <c r="G12" s="87"/>
      <c r="H12" s="93"/>
      <c r="I12" s="87"/>
      <c r="J12" s="87"/>
      <c r="K12" s="87"/>
      <c r="L12" s="87"/>
      <c r="M12" s="87"/>
      <c r="N12" s="90"/>
      <c r="O12" s="541" t="s">
        <v>692</v>
      </c>
      <c r="P12" s="542"/>
      <c r="Q12" s="542"/>
      <c r="R12" s="82"/>
      <c r="S12" s="379">
        <f>+'Gestion Investigación'!AC14</f>
        <v>0</v>
      </c>
      <c r="T12" s="82"/>
      <c r="U12" s="82"/>
      <c r="V12" s="86"/>
      <c r="W12" s="115"/>
    </row>
    <row r="13" spans="2:23" ht="45" customHeight="1" x14ac:dyDescent="0.25">
      <c r="B13" s="93"/>
      <c r="C13" s="87"/>
      <c r="D13" s="87"/>
      <c r="E13" s="87"/>
      <c r="F13" s="87"/>
      <c r="G13" s="87"/>
      <c r="H13" s="93"/>
      <c r="I13" s="87"/>
      <c r="J13" s="87"/>
      <c r="K13" s="87"/>
      <c r="L13" s="87"/>
      <c r="M13" s="87"/>
      <c r="N13" s="90"/>
      <c r="O13" s="545" t="s">
        <v>307</v>
      </c>
      <c r="P13" s="546"/>
      <c r="Q13" s="546"/>
      <c r="R13" s="87"/>
      <c r="S13" s="387" t="str">
        <f>+Acreditación!AC8</f>
        <v>-</v>
      </c>
      <c r="T13" s="87"/>
      <c r="U13" s="82"/>
      <c r="V13" s="86"/>
      <c r="W13" s="115"/>
    </row>
    <row r="14" spans="2:23" ht="16.5" thickBot="1" x14ac:dyDescent="0.3">
      <c r="B14" s="94"/>
      <c r="C14" s="105"/>
      <c r="D14" s="95"/>
      <c r="E14" s="95"/>
      <c r="F14" s="95"/>
      <c r="G14" s="96"/>
      <c r="H14" s="94"/>
      <c r="I14" s="96"/>
      <c r="J14" s="96"/>
      <c r="K14" s="95"/>
      <c r="L14" s="95"/>
      <c r="M14" s="95"/>
      <c r="N14" s="97"/>
      <c r="O14" s="98"/>
      <c r="P14" s="95"/>
      <c r="Q14" s="95"/>
      <c r="R14" s="95"/>
      <c r="S14" s="384"/>
      <c r="T14" s="96"/>
      <c r="U14" s="96"/>
      <c r="V14" s="99"/>
      <c r="W14" s="116"/>
    </row>
    <row r="15" spans="2:23" ht="16.5" thickBot="1" x14ac:dyDescent="0.3">
      <c r="B15" s="108"/>
      <c r="C15" s="135"/>
      <c r="D15" s="108"/>
      <c r="E15" s="108"/>
      <c r="F15" s="108"/>
      <c r="G15" s="537" t="s">
        <v>845</v>
      </c>
      <c r="H15" s="538"/>
      <c r="I15" s="538"/>
      <c r="J15" s="538"/>
      <c r="K15" s="538"/>
      <c r="L15" s="538"/>
      <c r="M15" s="538"/>
      <c r="N15" s="538"/>
      <c r="O15" s="538"/>
      <c r="P15" s="538"/>
      <c r="Q15" s="538"/>
      <c r="R15" s="539"/>
      <c r="S15" s="385"/>
      <c r="T15" s="100">
        <f>AVERAGE(F6:F10,L6:L12,S6:S13)</f>
        <v>0</v>
      </c>
      <c r="U15" s="108"/>
      <c r="V15" s="108"/>
    </row>
    <row r="16" spans="2:23" ht="16.5" thickBot="1" x14ac:dyDescent="0.3">
      <c r="B16" s="540" t="s">
        <v>358</v>
      </c>
      <c r="C16" s="540"/>
      <c r="D16" s="107">
        <f>SUM(C17:D19)</f>
        <v>7</v>
      </c>
      <c r="E16" s="108"/>
      <c r="F16" s="108"/>
      <c r="G16" s="108"/>
      <c r="H16" s="108"/>
      <c r="I16" s="108"/>
      <c r="J16" s="108"/>
      <c r="K16" s="108"/>
      <c r="L16" s="108"/>
      <c r="M16" s="108"/>
      <c r="N16" s="108"/>
      <c r="O16" s="108"/>
      <c r="P16" s="108"/>
      <c r="Q16" s="108"/>
      <c r="R16" s="108"/>
      <c r="S16" s="385"/>
      <c r="T16" s="108"/>
      <c r="U16" s="108"/>
      <c r="V16" s="108"/>
    </row>
    <row r="17" spans="2:22" ht="17.25" customHeight="1" x14ac:dyDescent="0.25">
      <c r="B17" s="109" t="s">
        <v>359</v>
      </c>
      <c r="C17" s="110">
        <f>+COUNT(F6:F10)</f>
        <v>2</v>
      </c>
      <c r="D17" s="108"/>
      <c r="E17" s="108"/>
      <c r="F17" s="108"/>
      <c r="G17" s="108"/>
      <c r="H17" s="108"/>
      <c r="I17" s="108"/>
      <c r="J17" s="108"/>
      <c r="K17" s="108"/>
      <c r="L17" s="108"/>
      <c r="M17" s="108"/>
      <c r="N17" s="108"/>
      <c r="O17" s="108"/>
      <c r="P17" s="108"/>
      <c r="Q17" s="108"/>
      <c r="R17" s="108"/>
      <c r="S17" s="386"/>
      <c r="T17" s="108"/>
      <c r="U17" s="108"/>
      <c r="V17" s="108"/>
    </row>
    <row r="18" spans="2:22" ht="15.75" x14ac:dyDescent="0.25">
      <c r="B18" s="109" t="s">
        <v>360</v>
      </c>
      <c r="C18" s="110">
        <f>+COUNT(L6:L12)</f>
        <v>1</v>
      </c>
      <c r="D18" s="108"/>
      <c r="E18" s="108"/>
      <c r="F18" s="108"/>
      <c r="G18" s="108"/>
      <c r="H18" s="108"/>
      <c r="I18" s="108"/>
      <c r="J18" s="108"/>
      <c r="K18" s="108"/>
      <c r="L18" s="108"/>
      <c r="M18" s="108"/>
      <c r="N18" s="108"/>
      <c r="O18" s="108"/>
      <c r="P18" s="108"/>
      <c r="Q18" s="108"/>
      <c r="R18" s="108"/>
      <c r="S18" s="385"/>
      <c r="T18" s="108"/>
      <c r="U18" s="108"/>
      <c r="V18" s="108"/>
    </row>
    <row r="19" spans="2:22" ht="15.75" x14ac:dyDescent="0.25">
      <c r="B19" s="109" t="s">
        <v>361</v>
      </c>
      <c r="C19" s="110">
        <f>+COUNT(S6:S12)</f>
        <v>4</v>
      </c>
      <c r="D19" s="108"/>
      <c r="E19" s="108"/>
      <c r="F19" s="108"/>
      <c r="G19" s="108"/>
      <c r="H19" s="108"/>
      <c r="I19" s="108"/>
      <c r="J19" s="108"/>
      <c r="K19" s="108"/>
      <c r="L19" s="108"/>
      <c r="M19" s="108"/>
      <c r="N19" s="111"/>
      <c r="O19" s="108"/>
      <c r="P19" s="108"/>
      <c r="Q19" s="108"/>
      <c r="R19" s="108"/>
      <c r="S19" s="385"/>
      <c r="T19" s="108"/>
      <c r="U19" s="108"/>
      <c r="V19" s="108"/>
    </row>
  </sheetData>
  <mergeCells count="22">
    <mergeCell ref="H11:J11"/>
    <mergeCell ref="O12:Q12"/>
    <mergeCell ref="L6:L7"/>
    <mergeCell ref="O9:Q9"/>
    <mergeCell ref="O10:Q10"/>
    <mergeCell ref="O11:Q11"/>
    <mergeCell ref="B2:V2"/>
    <mergeCell ref="G15:R15"/>
    <mergeCell ref="B16:C16"/>
    <mergeCell ref="B6:D6"/>
    <mergeCell ref="B7:D7"/>
    <mergeCell ref="B8:D8"/>
    <mergeCell ref="B9:D9"/>
    <mergeCell ref="B10:D10"/>
    <mergeCell ref="H8:J8"/>
    <mergeCell ref="H6:J7"/>
    <mergeCell ref="H9:J9"/>
    <mergeCell ref="O6:Q6"/>
    <mergeCell ref="O7:Q7"/>
    <mergeCell ref="O8:Q8"/>
    <mergeCell ref="O13:Q13"/>
    <mergeCell ref="H10:J10"/>
  </mergeCells>
  <conditionalFormatting sqref="F6:F10">
    <cfRule type="cellIs" dxfId="89" priority="7" operator="greaterThan">
      <formula>0.8</formula>
    </cfRule>
    <cfRule type="cellIs" dxfId="88" priority="8" operator="between">
      <formula>0.6</formula>
      <formula>0.799</formula>
    </cfRule>
    <cfRule type="cellIs" dxfId="87" priority="9" operator="lessThan">
      <formula>0.599</formula>
    </cfRule>
  </conditionalFormatting>
  <conditionalFormatting sqref="G4">
    <cfRule type="cellIs" dxfId="86" priority="16" operator="greaterThan">
      <formula>0.8</formula>
    </cfRule>
    <cfRule type="cellIs" dxfId="85" priority="17" operator="between">
      <formula>0.6</formula>
      <formula>0.799</formula>
    </cfRule>
    <cfRule type="cellIs" dxfId="84" priority="18" operator="lessThan">
      <formula>0.599</formula>
    </cfRule>
  </conditionalFormatting>
  <conditionalFormatting sqref="L6">
    <cfRule type="cellIs" dxfId="83" priority="28" operator="greaterThan">
      <formula>0.8</formula>
    </cfRule>
    <cfRule type="cellIs" dxfId="82" priority="29" operator="between">
      <formula>0.6</formula>
      <formula>0.799</formula>
    </cfRule>
    <cfRule type="cellIs" dxfId="81" priority="30" operator="lessThan">
      <formula>0.599</formula>
    </cfRule>
  </conditionalFormatting>
  <conditionalFormatting sqref="L8:L11">
    <cfRule type="cellIs" dxfId="80" priority="1" operator="greaterThan">
      <formula>0.8</formula>
    </cfRule>
    <cfRule type="cellIs" dxfId="79" priority="2" operator="between">
      <formula>0.6</formula>
      <formula>0.799</formula>
    </cfRule>
    <cfRule type="cellIs" dxfId="78" priority="3" operator="lessThan">
      <formula>0.599</formula>
    </cfRule>
  </conditionalFormatting>
  <conditionalFormatting sqref="N4">
    <cfRule type="cellIs" dxfId="77" priority="13" operator="greaterThan">
      <formula>0.8</formula>
    </cfRule>
    <cfRule type="cellIs" dxfId="76" priority="14" operator="between">
      <formula>0.6</formula>
      <formula>0.799</formula>
    </cfRule>
    <cfRule type="cellIs" dxfId="75" priority="15" operator="lessThan">
      <formula>0.599</formula>
    </cfRule>
  </conditionalFormatting>
  <conditionalFormatting sqref="S6:S13">
    <cfRule type="cellIs" dxfId="74" priority="4" operator="greaterThan">
      <formula>0.8</formula>
    </cfRule>
    <cfRule type="cellIs" dxfId="73" priority="5" operator="between">
      <formula>0.6</formula>
      <formula>0.799</formula>
    </cfRule>
    <cfRule type="cellIs" dxfId="72" priority="6" operator="lessThan">
      <formula>0.599</formula>
    </cfRule>
  </conditionalFormatting>
  <conditionalFormatting sqref="V4">
    <cfRule type="cellIs" dxfId="71" priority="10" operator="greaterThan">
      <formula>0.8</formula>
    </cfRule>
    <cfRule type="cellIs" dxfId="70" priority="11" operator="between">
      <formula>0.6</formula>
      <formula>0.799</formula>
    </cfRule>
    <cfRule type="cellIs" dxfId="69" priority="12" operator="lessThan">
      <formula>0.599</formula>
    </cfRule>
  </conditionalFormatting>
  <hyperlinks>
    <hyperlink ref="O7:Q7" location="'Integración SI'!A1" display="Programa de  integración del sistema de información " xr:uid="{00000000-0004-0000-0300-000000000000}"/>
    <hyperlink ref="O12:Q12" location="'Gestion Investigación'!A1" display="Programa de Investigación, Docencia e Innovación" xr:uid="{00000000-0004-0000-0300-000001000000}"/>
    <hyperlink ref="O6:Q6" location="MIPG!A1" display="Índice de Desempeño Institucional" xr:uid="{00000000-0004-0000-0300-000002000000}"/>
    <hyperlink ref="O9:Q9" location="'ISO 140012015'!A1" display="Cumplimiento de los requisitos de la norma  ISO 14001:2015" xr:uid="{00000000-0004-0000-0300-000003000000}"/>
    <hyperlink ref="B6:D6" location="PEGIF!A1" display="Programa de gestión institucional de los recursos financieros (PEGIF) " xr:uid="{00000000-0004-0000-0300-000004000000}"/>
    <hyperlink ref="B7:D7" location="Costos!A1" display="Programa Gestión de Sistema de Costos" xr:uid="{00000000-0004-0000-0300-000005000000}"/>
    <hyperlink ref="B9:D9" location="'Construcción-Adecuación'!A1" display="Programa  de adecuación y mejoramiento de infraestructura física" xr:uid="{00000000-0004-0000-0300-000006000000}"/>
    <hyperlink ref="O8:Q8" location="'Gestión Tecnología'!A1" display="Programa de Gestión de tecnología y  dotación Hospitalaria." xr:uid="{00000000-0004-0000-0300-000007000000}"/>
    <hyperlink ref="O11:Q11" location="'ISO 90012015'!A1" display="Cumplimiento de los requisitos de la norma   ISO 9001:2015" xr:uid="{00000000-0004-0000-0300-000008000000}"/>
    <hyperlink ref="B8:D8" location="'Prevención Daño Ant'!A1" display="Fortalecimiento de la gestión del riesgo y prevención del daño antijurídico de la entidad" xr:uid="{00000000-0004-0000-0300-000009000000}"/>
    <hyperlink ref="B10:D10" location="PEGITH!A1" display="Programa de Gestión integral y bienestar del talento humano  que impacten en la  calidad de la  atención del usuario y su familia. " xr:uid="{00000000-0004-0000-0300-00000A000000}"/>
    <hyperlink ref="O13:Q13" location="Acreditación!A1" display="Fortalecer la  implementación del proceso de acreditación frente al  despliegue y aplicación del enfoque y extensión a los clientes  interno y externo." xr:uid="{00000000-0004-0000-0300-00000B000000}"/>
    <hyperlink ref="O10:Q10" location="'ISO 450012018'!A1" display=" Cumplimiento de los requisitos de la norma  ISO 45001:2018" xr:uid="{00000000-0004-0000-0300-00000C000000}"/>
    <hyperlink ref="H6:J7" location="'Modelo Atención'!A1" display="Modelo de atención articulado con los procesos institucionales, generando una implementación oportuna, pertinente, segura e integral para el Usuario y su familia." xr:uid="{00000000-0004-0000-0300-00000D000000}"/>
    <hyperlink ref="H8:J8" location="'Seguridad Paciente'!A1" display="Programa de Seguridad del Paciente bajo el enfoque de adaptación y mitigación de riesgos  " xr:uid="{00000000-0004-0000-0300-00000E000000}"/>
    <hyperlink ref="H9:J9" location="'Alta Complejidad'!A1" display="Programa integralidad de alta complejidad y seguimiento  comunitario." xr:uid="{00000000-0004-0000-0300-00000F000000}"/>
    <hyperlink ref="H10:J10" location="'BPE - BPM'!A1" display="Cumplimiento de requisitos de Buenas practicas de elaboración  y Manufactura" xr:uid="{00000000-0004-0000-0300-000010000000}"/>
    <hyperlink ref="H11:J11" location="'Programa Humanizacion'!A1" display="Programa de Humanización que involucre la sensibilización del talento humano con enfoque tanto para cliente interno" xr:uid="{00000000-0004-0000-0300-000011000000}"/>
  </hyperlinks>
  <pageMargins left="0.70866141732283472" right="0.70866141732283472" top="0.74803149606299213" bottom="0.74803149606299213" header="0.31496062992125984" footer="0.31496062992125984"/>
  <pageSetup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5"/>
  <dimension ref="B1:AA40"/>
  <sheetViews>
    <sheetView view="pageBreakPreview" zoomScale="90" zoomScaleNormal="100" zoomScaleSheetLayoutView="90" workbookViewId="0">
      <selection activeCell="Q11" sqref="Q11"/>
    </sheetView>
  </sheetViews>
  <sheetFormatPr baseColWidth="10" defaultRowHeight="15" x14ac:dyDescent="0.25"/>
  <cols>
    <col min="1" max="1" width="4.7109375" customWidth="1"/>
    <col min="2" max="2" width="9.28515625" customWidth="1"/>
    <col min="3" max="3" width="48" customWidth="1"/>
    <col min="4" max="4" width="23.7109375" style="47" customWidth="1"/>
    <col min="5" max="6" width="3.28515625" style="48" customWidth="1"/>
    <col min="7" max="7" width="3.7109375" style="48" customWidth="1"/>
    <col min="8" max="12" width="3.28515625" style="48" customWidth="1"/>
    <col min="13" max="13" width="4.28515625" style="48" customWidth="1"/>
    <col min="14" max="14" width="4.140625" style="48" customWidth="1"/>
    <col min="15" max="23" width="4.28515625" style="48" customWidth="1"/>
    <col min="24" max="24" width="5.140625" style="48" customWidth="1"/>
    <col min="25" max="25" width="4.85546875" style="48" customWidth="1"/>
    <col min="26" max="26" width="4.5703125" style="48" customWidth="1"/>
    <col min="27" max="27" width="23.7109375" style="47" customWidth="1"/>
  </cols>
  <sheetData>
    <row r="1" spans="2:27" ht="99.75" customHeight="1" x14ac:dyDescent="0.25">
      <c r="E1" s="229" t="s">
        <v>506</v>
      </c>
      <c r="F1" s="230" t="s">
        <v>507</v>
      </c>
      <c r="G1" s="230" t="s">
        <v>511</v>
      </c>
      <c r="H1" s="230" t="s">
        <v>512</v>
      </c>
      <c r="I1" s="230" t="s">
        <v>514</v>
      </c>
      <c r="J1" s="230" t="s">
        <v>515</v>
      </c>
      <c r="K1" s="230" t="s">
        <v>516</v>
      </c>
      <c r="L1" s="231" t="s">
        <v>517</v>
      </c>
      <c r="M1" s="230" t="s">
        <v>519</v>
      </c>
      <c r="N1" s="230" t="s">
        <v>520</v>
      </c>
      <c r="O1" s="231" t="s">
        <v>521</v>
      </c>
      <c r="P1" s="230" t="s">
        <v>522</v>
      </c>
      <c r="Q1" s="230" t="s">
        <v>523</v>
      </c>
      <c r="R1" s="230" t="s">
        <v>526</v>
      </c>
      <c r="S1" s="230" t="s">
        <v>527</v>
      </c>
      <c r="T1" s="230" t="s">
        <v>528</v>
      </c>
      <c r="U1" s="230" t="s">
        <v>529</v>
      </c>
      <c r="V1" s="230" t="s">
        <v>530</v>
      </c>
      <c r="W1" s="231" t="s">
        <v>531</v>
      </c>
      <c r="X1" s="230" t="s">
        <v>532</v>
      </c>
      <c r="Y1" s="230" t="s">
        <v>533</v>
      </c>
      <c r="Z1" s="230" t="s">
        <v>534</v>
      </c>
    </row>
    <row r="2" spans="2:27" ht="21" customHeight="1" x14ac:dyDescent="0.25">
      <c r="B2" s="554" t="s">
        <v>233</v>
      </c>
      <c r="C2" s="554" t="s">
        <v>234</v>
      </c>
      <c r="D2" s="555" t="s">
        <v>235</v>
      </c>
      <c r="E2" s="556" t="s">
        <v>262</v>
      </c>
      <c r="F2" s="556" t="s">
        <v>263</v>
      </c>
      <c r="G2" s="556" t="s">
        <v>264</v>
      </c>
      <c r="H2" s="556" t="s">
        <v>265</v>
      </c>
      <c r="I2" s="556" t="s">
        <v>513</v>
      </c>
      <c r="J2" s="556" t="s">
        <v>266</v>
      </c>
      <c r="K2" s="556" t="s">
        <v>267</v>
      </c>
      <c r="L2" s="556" t="s">
        <v>268</v>
      </c>
      <c r="M2" s="556" t="s">
        <v>269</v>
      </c>
      <c r="N2" s="556" t="s">
        <v>270</v>
      </c>
      <c r="O2" s="556" t="s">
        <v>271</v>
      </c>
      <c r="P2" s="556" t="s">
        <v>272</v>
      </c>
      <c r="Q2" s="556" t="s">
        <v>273</v>
      </c>
      <c r="R2" s="556" t="s">
        <v>274</v>
      </c>
      <c r="S2" s="556" t="s">
        <v>275</v>
      </c>
      <c r="T2" s="556" t="s">
        <v>276</v>
      </c>
      <c r="U2" s="556" t="s">
        <v>277</v>
      </c>
      <c r="V2" s="556" t="s">
        <v>278</v>
      </c>
      <c r="W2" s="556" t="s">
        <v>279</v>
      </c>
      <c r="X2" s="556" t="s">
        <v>280</v>
      </c>
      <c r="Y2" s="556" t="s">
        <v>281</v>
      </c>
      <c r="Z2" s="556" t="s">
        <v>282</v>
      </c>
      <c r="AA2" s="558" t="s">
        <v>197</v>
      </c>
    </row>
    <row r="3" spans="2:27" x14ac:dyDescent="0.25">
      <c r="B3" s="554"/>
      <c r="C3" s="554"/>
      <c r="D3" s="555"/>
      <c r="E3" s="557"/>
      <c r="F3" s="557"/>
      <c r="G3" s="557"/>
      <c r="H3" s="557"/>
      <c r="I3" s="557"/>
      <c r="J3" s="557"/>
      <c r="K3" s="557"/>
      <c r="L3" s="557"/>
      <c r="M3" s="557"/>
      <c r="N3" s="557"/>
      <c r="O3" s="557"/>
      <c r="P3" s="557"/>
      <c r="Q3" s="557"/>
      <c r="R3" s="557"/>
      <c r="S3" s="557"/>
      <c r="T3" s="557"/>
      <c r="U3" s="557"/>
      <c r="V3" s="557"/>
      <c r="W3" s="557"/>
      <c r="X3" s="557"/>
      <c r="Y3" s="557"/>
      <c r="Z3" s="557"/>
      <c r="AA3" s="559"/>
    </row>
    <row r="4" spans="2:27" ht="56.25" customHeight="1" x14ac:dyDescent="0.25">
      <c r="B4" s="49">
        <v>1</v>
      </c>
      <c r="C4" s="50"/>
      <c r="D4" s="51" t="s">
        <v>236</v>
      </c>
      <c r="E4" s="52" t="s">
        <v>237</v>
      </c>
      <c r="F4" s="52"/>
      <c r="G4" s="52" t="s">
        <v>237</v>
      </c>
      <c r="H4" s="52"/>
      <c r="I4" s="52"/>
      <c r="J4" s="52"/>
      <c r="K4" s="52"/>
      <c r="L4" s="52"/>
      <c r="M4" s="52" t="s">
        <v>237</v>
      </c>
      <c r="N4" s="52"/>
      <c r="O4" s="52"/>
      <c r="P4" s="52"/>
      <c r="Q4" s="52"/>
      <c r="R4" s="52"/>
      <c r="S4" s="52"/>
      <c r="T4" s="52"/>
      <c r="U4" s="52"/>
      <c r="V4" s="52"/>
      <c r="W4" s="52"/>
      <c r="X4" s="52"/>
      <c r="Y4" s="52"/>
      <c r="Z4" s="52"/>
      <c r="AA4" s="51"/>
    </row>
    <row r="5" spans="2:27" ht="27.75" customHeight="1" x14ac:dyDescent="0.25">
      <c r="B5" s="49">
        <v>2</v>
      </c>
      <c r="C5" s="50"/>
      <c r="D5" s="51" t="s">
        <v>286</v>
      </c>
      <c r="E5" s="52"/>
      <c r="F5" s="52"/>
      <c r="G5" s="52"/>
      <c r="H5" s="52"/>
      <c r="I5" s="52"/>
      <c r="J5" s="52"/>
      <c r="K5" s="52"/>
      <c r="L5" s="52"/>
      <c r="M5" s="52" t="s">
        <v>237</v>
      </c>
      <c r="N5" s="52"/>
      <c r="O5" s="52"/>
      <c r="P5" s="52"/>
      <c r="Q5" s="52"/>
      <c r="R5" s="52"/>
      <c r="S5" s="52"/>
      <c r="T5" s="52"/>
      <c r="U5" s="52"/>
      <c r="V5" s="52"/>
      <c r="W5" s="52" t="s">
        <v>237</v>
      </c>
      <c r="X5" s="52" t="s">
        <v>237</v>
      </c>
      <c r="Y5" s="52" t="s">
        <v>237</v>
      </c>
      <c r="Z5" s="52" t="s">
        <v>237</v>
      </c>
      <c r="AA5" s="51"/>
    </row>
    <row r="6" spans="2:27" ht="19.5" customHeight="1" x14ac:dyDescent="0.25">
      <c r="B6" s="49">
        <v>3</v>
      </c>
      <c r="C6" s="50"/>
      <c r="D6" s="51" t="s">
        <v>238</v>
      </c>
      <c r="E6" s="52"/>
      <c r="F6" s="52"/>
      <c r="G6" s="52" t="s">
        <v>237</v>
      </c>
      <c r="H6" s="52"/>
      <c r="I6" s="52"/>
      <c r="J6" s="52"/>
      <c r="K6" s="52"/>
      <c r="L6" s="52"/>
      <c r="M6" s="52" t="s">
        <v>237</v>
      </c>
      <c r="N6" s="52"/>
      <c r="O6" s="52"/>
      <c r="P6" s="52"/>
      <c r="Q6" s="52" t="s">
        <v>237</v>
      </c>
      <c r="R6" s="52"/>
      <c r="S6" s="52"/>
      <c r="T6" s="52"/>
      <c r="U6" s="52"/>
      <c r="V6" s="52"/>
      <c r="W6" s="52"/>
      <c r="X6" s="52"/>
      <c r="Y6" s="52"/>
      <c r="Z6" s="52"/>
      <c r="AA6" s="51"/>
    </row>
    <row r="7" spans="2:27" ht="18.75" customHeight="1" x14ac:dyDescent="0.25">
      <c r="B7" s="49">
        <v>4</v>
      </c>
      <c r="C7" s="50"/>
      <c r="D7" s="51" t="s">
        <v>239</v>
      </c>
      <c r="E7" s="52"/>
      <c r="F7" s="52"/>
      <c r="G7" s="52"/>
      <c r="H7" s="52"/>
      <c r="I7" s="52"/>
      <c r="J7" s="52"/>
      <c r="K7" s="52"/>
      <c r="L7" s="52"/>
      <c r="M7" s="52"/>
      <c r="N7" s="52"/>
      <c r="O7" s="52"/>
      <c r="P7" s="52"/>
      <c r="Q7" s="52"/>
      <c r="R7" s="52"/>
      <c r="S7" s="52"/>
      <c r="T7" s="52"/>
      <c r="U7" s="52"/>
      <c r="V7" s="52"/>
      <c r="W7" s="52"/>
      <c r="X7" s="52"/>
      <c r="Y7" s="52"/>
      <c r="Z7" s="52"/>
      <c r="AA7" s="51"/>
    </row>
    <row r="8" spans="2:27" ht="17.25" customHeight="1" x14ac:dyDescent="0.25">
      <c r="B8" s="49"/>
      <c r="C8" s="50"/>
      <c r="D8" s="51" t="s">
        <v>283</v>
      </c>
      <c r="E8" s="52"/>
      <c r="F8" s="52"/>
      <c r="G8" s="52" t="s">
        <v>237</v>
      </c>
      <c r="H8" s="52"/>
      <c r="I8" s="52"/>
      <c r="J8" s="52"/>
      <c r="K8" s="52"/>
      <c r="L8" s="52" t="s">
        <v>237</v>
      </c>
      <c r="M8" s="52"/>
      <c r="N8" s="52"/>
      <c r="O8" s="52"/>
      <c r="P8" s="52"/>
      <c r="Q8" s="52"/>
      <c r="R8" s="52"/>
      <c r="S8" s="52"/>
      <c r="T8" s="52" t="s">
        <v>237</v>
      </c>
      <c r="U8" s="52"/>
      <c r="V8" s="52"/>
      <c r="W8" s="52"/>
      <c r="X8" s="52"/>
      <c r="Y8" s="52"/>
      <c r="Z8" s="52"/>
      <c r="AA8" s="51"/>
    </row>
    <row r="9" spans="2:27" ht="17.25" customHeight="1" x14ac:dyDescent="0.25">
      <c r="B9" s="49"/>
      <c r="C9" s="50"/>
      <c r="D9" s="51" t="s">
        <v>284</v>
      </c>
      <c r="E9" s="52"/>
      <c r="F9" s="52"/>
      <c r="G9" s="52" t="s">
        <v>237</v>
      </c>
      <c r="H9" s="52"/>
      <c r="I9" s="52"/>
      <c r="J9" s="52"/>
      <c r="K9" s="52"/>
      <c r="L9" s="52"/>
      <c r="M9" s="52"/>
      <c r="N9" s="52"/>
      <c r="O9" s="52"/>
      <c r="P9" s="52"/>
      <c r="Q9" s="52" t="s">
        <v>237</v>
      </c>
      <c r="R9" s="52"/>
      <c r="S9" s="52" t="s">
        <v>237</v>
      </c>
      <c r="T9" s="52"/>
      <c r="U9" s="52"/>
      <c r="V9" s="52"/>
      <c r="W9" s="52"/>
      <c r="X9" s="52"/>
      <c r="Y9" s="52"/>
      <c r="Z9" s="52"/>
      <c r="AA9" s="51"/>
    </row>
    <row r="10" spans="2:27" ht="17.25" customHeight="1" x14ac:dyDescent="0.25">
      <c r="B10" s="49"/>
      <c r="C10" s="50"/>
      <c r="D10" s="51" t="s">
        <v>285</v>
      </c>
      <c r="E10" s="52"/>
      <c r="F10" s="52"/>
      <c r="G10" s="52" t="s">
        <v>237</v>
      </c>
      <c r="H10" s="52"/>
      <c r="I10" s="52"/>
      <c r="J10" s="52"/>
      <c r="K10" s="52"/>
      <c r="L10" s="52"/>
      <c r="M10" s="52"/>
      <c r="N10" s="52"/>
      <c r="O10" s="52"/>
      <c r="P10" s="52"/>
      <c r="Q10" s="52" t="s">
        <v>237</v>
      </c>
      <c r="R10" s="52" t="s">
        <v>237</v>
      </c>
      <c r="S10" s="52"/>
      <c r="T10" s="52"/>
      <c r="U10" s="52"/>
      <c r="V10" s="52"/>
      <c r="W10" s="52"/>
      <c r="X10" s="52"/>
      <c r="Y10" s="52"/>
      <c r="Z10" s="52"/>
      <c r="AA10" s="51"/>
    </row>
    <row r="11" spans="2:27" ht="28.5" customHeight="1" x14ac:dyDescent="0.25">
      <c r="B11" s="49">
        <v>5</v>
      </c>
      <c r="C11" s="50"/>
      <c r="D11" s="51" t="s">
        <v>240</v>
      </c>
      <c r="E11" s="52"/>
      <c r="F11" s="52"/>
      <c r="G11" s="52"/>
      <c r="H11" s="52"/>
      <c r="I11" s="52"/>
      <c r="J11" s="52"/>
      <c r="K11" s="52"/>
      <c r="L11" s="52"/>
      <c r="M11" s="52"/>
      <c r="N11" s="52"/>
      <c r="O11" s="52"/>
      <c r="P11" s="52"/>
      <c r="Q11" s="52"/>
      <c r="R11" s="52"/>
      <c r="S11" s="52"/>
      <c r="T11" s="52"/>
      <c r="U11" s="52"/>
      <c r="V11" s="52"/>
      <c r="W11" s="52"/>
      <c r="X11" s="52"/>
      <c r="Y11" s="52"/>
      <c r="Z11" s="52"/>
      <c r="AA11" s="51"/>
    </row>
    <row r="12" spans="2:27" x14ac:dyDescent="0.25">
      <c r="B12" s="49">
        <v>6</v>
      </c>
      <c r="C12" s="50"/>
      <c r="D12" s="51" t="s">
        <v>241</v>
      </c>
      <c r="E12" s="52" t="s">
        <v>237</v>
      </c>
      <c r="F12" s="52" t="s">
        <v>237</v>
      </c>
      <c r="G12" s="52"/>
      <c r="H12" s="52"/>
      <c r="I12" s="52"/>
      <c r="J12" s="52"/>
      <c r="K12" s="52"/>
      <c r="L12" s="52"/>
      <c r="M12" s="52"/>
      <c r="N12" s="52"/>
      <c r="O12" s="52"/>
      <c r="P12" s="52"/>
      <c r="Q12" s="52"/>
      <c r="R12" s="52"/>
      <c r="S12" s="52"/>
      <c r="T12" s="52"/>
      <c r="U12" s="52"/>
      <c r="V12" s="52"/>
      <c r="W12" s="52"/>
      <c r="X12" s="52"/>
      <c r="Y12" s="52"/>
      <c r="Z12" s="52"/>
      <c r="AA12" s="51"/>
    </row>
    <row r="13" spans="2:27" x14ac:dyDescent="0.25">
      <c r="B13" s="49">
        <v>7</v>
      </c>
      <c r="C13" s="50"/>
      <c r="D13" s="51" t="s">
        <v>242</v>
      </c>
      <c r="E13" s="52"/>
      <c r="F13" s="52"/>
      <c r="G13" s="52"/>
      <c r="H13" s="52"/>
      <c r="I13" s="52"/>
      <c r="J13" s="52"/>
      <c r="K13" s="52"/>
      <c r="L13" s="52"/>
      <c r="M13" s="52"/>
      <c r="N13" s="52"/>
      <c r="O13" s="52"/>
      <c r="P13" s="52"/>
      <c r="Q13" s="52" t="s">
        <v>237</v>
      </c>
      <c r="R13" s="52"/>
      <c r="S13" s="52"/>
      <c r="T13" s="52"/>
      <c r="U13" s="52"/>
      <c r="V13" s="52"/>
      <c r="W13" s="52"/>
      <c r="X13" s="52"/>
      <c r="Y13" s="52"/>
      <c r="Z13" s="52"/>
      <c r="AA13" s="51"/>
    </row>
    <row r="14" spans="2:27" x14ac:dyDescent="0.25">
      <c r="B14" s="49">
        <v>8</v>
      </c>
      <c r="C14" s="50"/>
      <c r="D14" s="51" t="s">
        <v>243</v>
      </c>
      <c r="E14" s="52"/>
      <c r="F14" s="52"/>
      <c r="G14" s="52"/>
      <c r="H14" s="52"/>
      <c r="I14" s="52"/>
      <c r="J14" s="52"/>
      <c r="K14" s="52"/>
      <c r="L14" s="52"/>
      <c r="M14" s="52"/>
      <c r="N14" s="52"/>
      <c r="O14" s="52"/>
      <c r="P14" s="52"/>
      <c r="Q14" s="52" t="s">
        <v>237</v>
      </c>
      <c r="R14" s="52"/>
      <c r="S14" s="52"/>
      <c r="T14" s="52"/>
      <c r="U14" s="52" t="s">
        <v>237</v>
      </c>
      <c r="V14" s="52" t="s">
        <v>237</v>
      </c>
      <c r="W14" s="52"/>
      <c r="X14" s="52"/>
      <c r="Y14" s="52"/>
      <c r="Z14" s="52"/>
      <c r="AA14" s="51"/>
    </row>
    <row r="15" spans="2:27" ht="22.5" x14ac:dyDescent="0.25">
      <c r="B15" s="49">
        <v>9</v>
      </c>
      <c r="C15" s="50"/>
      <c r="D15" s="51" t="s">
        <v>244</v>
      </c>
      <c r="E15" s="52"/>
      <c r="F15" s="52" t="s">
        <v>237</v>
      </c>
      <c r="G15" s="52"/>
      <c r="H15" s="52"/>
      <c r="I15" s="52"/>
      <c r="J15" s="52"/>
      <c r="K15" s="52"/>
      <c r="L15" s="52"/>
      <c r="M15" s="52"/>
      <c r="N15" s="52" t="s">
        <v>237</v>
      </c>
      <c r="O15" s="52"/>
      <c r="P15" s="52"/>
      <c r="Q15" s="52"/>
      <c r="R15" s="52"/>
      <c r="S15" s="52"/>
      <c r="T15" s="52"/>
      <c r="U15" s="52"/>
      <c r="V15" s="52"/>
      <c r="W15" s="52"/>
      <c r="X15" s="52"/>
      <c r="Y15" s="52"/>
      <c r="Z15" s="52"/>
      <c r="AA15" s="51"/>
    </row>
    <row r="16" spans="2:27" ht="22.5" x14ac:dyDescent="0.25">
      <c r="B16" s="49"/>
      <c r="C16" s="50"/>
      <c r="D16" s="51" t="s">
        <v>468</v>
      </c>
      <c r="E16" s="52"/>
      <c r="F16" s="52"/>
      <c r="G16" s="52"/>
      <c r="H16" s="52"/>
      <c r="I16" s="52"/>
      <c r="J16" s="52"/>
      <c r="K16" s="52"/>
      <c r="L16" s="52"/>
      <c r="M16" s="52"/>
      <c r="N16" s="52" t="s">
        <v>237</v>
      </c>
      <c r="O16" s="52"/>
      <c r="P16" s="52"/>
      <c r="Q16" s="52"/>
      <c r="R16" s="52"/>
      <c r="S16" s="52"/>
      <c r="T16" s="52"/>
      <c r="U16" s="52"/>
      <c r="V16" s="52"/>
      <c r="W16" s="52"/>
      <c r="X16" s="52"/>
      <c r="Y16" s="52"/>
      <c r="Z16" s="52"/>
      <c r="AA16" s="51"/>
    </row>
    <row r="17" spans="2:27" x14ac:dyDescent="0.25">
      <c r="B17" s="49"/>
      <c r="C17" s="50"/>
      <c r="D17" s="51" t="s">
        <v>525</v>
      </c>
      <c r="E17" s="52"/>
      <c r="F17" s="52"/>
      <c r="G17" s="52"/>
      <c r="H17" s="52"/>
      <c r="I17" s="52"/>
      <c r="J17" s="52"/>
      <c r="K17" s="52"/>
      <c r="L17" s="52"/>
      <c r="M17" s="52"/>
      <c r="N17" s="52"/>
      <c r="O17" s="52"/>
      <c r="P17" s="52"/>
      <c r="Q17" s="52" t="s">
        <v>237</v>
      </c>
      <c r="R17" s="52"/>
      <c r="S17" s="52"/>
      <c r="T17" s="52"/>
      <c r="U17" s="52"/>
      <c r="V17" s="52"/>
      <c r="W17" s="52"/>
      <c r="X17" s="52"/>
      <c r="Y17" s="52"/>
      <c r="Z17" s="52"/>
      <c r="AA17" s="51"/>
    </row>
    <row r="18" spans="2:27" x14ac:dyDescent="0.25">
      <c r="B18" s="49"/>
      <c r="C18" s="50"/>
      <c r="D18" s="51" t="s">
        <v>509</v>
      </c>
      <c r="E18" s="52"/>
      <c r="F18" s="52" t="s">
        <v>237</v>
      </c>
      <c r="G18" s="52"/>
      <c r="H18" s="52"/>
      <c r="I18" s="52"/>
      <c r="J18" s="52" t="s">
        <v>237</v>
      </c>
      <c r="K18" s="52"/>
      <c r="L18" s="52"/>
      <c r="M18" s="52"/>
      <c r="N18" s="52"/>
      <c r="O18" s="52"/>
      <c r="P18" s="52"/>
      <c r="Q18" s="52"/>
      <c r="R18" s="52"/>
      <c r="S18" s="52"/>
      <c r="T18" s="52"/>
      <c r="U18" s="52"/>
      <c r="V18" s="52"/>
      <c r="W18" s="52"/>
      <c r="X18" s="52"/>
      <c r="Y18" s="52"/>
      <c r="Z18" s="52"/>
      <c r="AA18" s="51"/>
    </row>
    <row r="19" spans="2:27" ht="26.25" customHeight="1" x14ac:dyDescent="0.25">
      <c r="B19" s="49"/>
      <c r="C19" s="50"/>
      <c r="D19" s="51" t="s">
        <v>518</v>
      </c>
      <c r="E19" s="52"/>
      <c r="F19" s="52"/>
      <c r="G19" s="52"/>
      <c r="H19" s="52"/>
      <c r="I19" s="52"/>
      <c r="J19" s="52"/>
      <c r="K19" s="52"/>
      <c r="L19" s="52" t="s">
        <v>237</v>
      </c>
      <c r="M19" s="52"/>
      <c r="N19" s="52"/>
      <c r="O19" s="52"/>
      <c r="P19" s="52"/>
      <c r="Q19" s="52"/>
      <c r="R19" s="52"/>
      <c r="S19" s="52"/>
      <c r="T19" s="52"/>
      <c r="U19" s="52"/>
      <c r="V19" s="52"/>
      <c r="W19" s="52"/>
      <c r="X19" s="52"/>
      <c r="Y19" s="52"/>
      <c r="Z19" s="52"/>
      <c r="AA19" s="51"/>
    </row>
    <row r="20" spans="2:27" x14ac:dyDescent="0.25">
      <c r="B20" s="49">
        <v>11</v>
      </c>
      <c r="C20" s="50"/>
      <c r="D20" s="51" t="s">
        <v>246</v>
      </c>
      <c r="E20" s="52"/>
      <c r="F20" s="52"/>
      <c r="G20" s="52"/>
      <c r="H20" s="52"/>
      <c r="I20" s="52"/>
      <c r="J20" s="52"/>
      <c r="K20" s="52"/>
      <c r="L20" s="52"/>
      <c r="M20" s="52" t="s">
        <v>237</v>
      </c>
      <c r="N20" s="52"/>
      <c r="O20" s="52"/>
      <c r="P20" s="52"/>
      <c r="Q20" s="52"/>
      <c r="R20" s="52"/>
      <c r="S20" s="52"/>
      <c r="T20" s="52"/>
      <c r="U20" s="52"/>
      <c r="V20" s="52"/>
      <c r="W20" s="52"/>
      <c r="X20" s="52"/>
      <c r="Y20" s="52"/>
      <c r="Z20" s="52"/>
      <c r="AA20" s="51"/>
    </row>
    <row r="21" spans="2:27" x14ac:dyDescent="0.25">
      <c r="B21" s="49">
        <v>12</v>
      </c>
      <c r="C21" s="50"/>
      <c r="D21" s="51" t="s">
        <v>247</v>
      </c>
      <c r="E21" s="52" t="s">
        <v>237</v>
      </c>
      <c r="F21" s="52" t="s">
        <v>237</v>
      </c>
      <c r="G21" s="52"/>
      <c r="H21" s="52"/>
      <c r="I21" s="52"/>
      <c r="J21" s="52"/>
      <c r="K21" s="52"/>
      <c r="L21" s="52"/>
      <c r="M21" s="52"/>
      <c r="N21" s="52"/>
      <c r="O21" s="52"/>
      <c r="P21" s="52"/>
      <c r="Q21" s="52"/>
      <c r="R21" s="52"/>
      <c r="S21" s="52"/>
      <c r="T21" s="52"/>
      <c r="U21" s="52"/>
      <c r="V21" s="52"/>
      <c r="W21" s="52"/>
      <c r="X21" s="52"/>
      <c r="Y21" s="52"/>
      <c r="Z21" s="52"/>
      <c r="AA21" s="51"/>
    </row>
    <row r="22" spans="2:27" ht="22.5" x14ac:dyDescent="0.25">
      <c r="B22" s="49">
        <v>13</v>
      </c>
      <c r="C22" s="50"/>
      <c r="D22" s="51" t="s">
        <v>248</v>
      </c>
      <c r="E22" s="52" t="s">
        <v>237</v>
      </c>
      <c r="F22" s="52" t="s">
        <v>237</v>
      </c>
      <c r="G22" s="52"/>
      <c r="H22" s="52"/>
      <c r="I22" s="52"/>
      <c r="J22" s="52"/>
      <c r="K22" s="52"/>
      <c r="L22" s="52"/>
      <c r="M22" s="52"/>
      <c r="N22" s="52"/>
      <c r="O22" s="52"/>
      <c r="P22" s="52"/>
      <c r="Q22" s="52" t="s">
        <v>237</v>
      </c>
      <c r="R22" s="52"/>
      <c r="S22" s="52"/>
      <c r="T22" s="52"/>
      <c r="U22" s="52"/>
      <c r="V22" s="52"/>
      <c r="W22" s="52"/>
      <c r="X22" s="52"/>
      <c r="Y22" s="52"/>
      <c r="Z22" s="52"/>
      <c r="AA22" s="51"/>
    </row>
    <row r="23" spans="2:27" ht="22.5" x14ac:dyDescent="0.25">
      <c r="B23" s="49">
        <v>14</v>
      </c>
      <c r="C23" s="50"/>
      <c r="D23" s="51" t="s">
        <v>249</v>
      </c>
      <c r="E23" s="52" t="s">
        <v>237</v>
      </c>
      <c r="F23" s="52" t="s">
        <v>237</v>
      </c>
      <c r="G23" s="52"/>
      <c r="H23" s="52"/>
      <c r="I23" s="52"/>
      <c r="J23" s="52"/>
      <c r="K23" s="52"/>
      <c r="L23" s="52"/>
      <c r="M23" s="52"/>
      <c r="N23" s="52"/>
      <c r="O23" s="52"/>
      <c r="P23" s="52"/>
      <c r="Q23" s="52" t="s">
        <v>237</v>
      </c>
      <c r="R23" s="52"/>
      <c r="S23" s="52"/>
      <c r="T23" s="52"/>
      <c r="U23" s="52"/>
      <c r="V23" s="52"/>
      <c r="W23" s="52"/>
      <c r="X23" s="52"/>
      <c r="Y23" s="52"/>
      <c r="Z23" s="52"/>
      <c r="AA23" s="51"/>
    </row>
    <row r="24" spans="2:27" ht="26.25" customHeight="1" x14ac:dyDescent="0.25">
      <c r="B24" s="49">
        <v>15</v>
      </c>
      <c r="C24" s="50"/>
      <c r="D24" s="51" t="s">
        <v>250</v>
      </c>
      <c r="E24" s="52" t="s">
        <v>237</v>
      </c>
      <c r="F24" s="52" t="s">
        <v>237</v>
      </c>
      <c r="G24" s="52"/>
      <c r="H24" s="52"/>
      <c r="I24" s="52"/>
      <c r="J24" s="52"/>
      <c r="K24" s="52"/>
      <c r="L24" s="52"/>
      <c r="M24" s="52"/>
      <c r="N24" s="52"/>
      <c r="O24" s="52"/>
      <c r="P24" s="52"/>
      <c r="Q24" s="52" t="s">
        <v>237</v>
      </c>
      <c r="R24" s="52"/>
      <c r="S24" s="52"/>
      <c r="T24" s="52"/>
      <c r="U24" s="52"/>
      <c r="V24" s="52"/>
      <c r="W24" s="52"/>
      <c r="X24" s="52"/>
      <c r="Y24" s="52"/>
      <c r="Z24" s="52"/>
      <c r="AA24" s="51"/>
    </row>
    <row r="25" spans="2:27" ht="26.25" customHeight="1" x14ac:dyDescent="0.25">
      <c r="B25" s="49"/>
      <c r="C25" s="50"/>
      <c r="D25" s="51" t="s">
        <v>426</v>
      </c>
      <c r="E25" s="52" t="s">
        <v>237</v>
      </c>
      <c r="F25" s="52"/>
      <c r="G25" s="52"/>
      <c r="H25" s="52"/>
      <c r="I25" s="52"/>
      <c r="J25" s="52"/>
      <c r="K25" s="52"/>
      <c r="L25" s="52"/>
      <c r="M25" s="52"/>
      <c r="N25" s="52"/>
      <c r="O25" s="52"/>
      <c r="P25" s="52"/>
      <c r="Q25" s="52"/>
      <c r="R25" s="52"/>
      <c r="S25" s="52"/>
      <c r="T25" s="52"/>
      <c r="U25" s="52"/>
      <c r="V25" s="52"/>
      <c r="W25" s="52"/>
      <c r="X25" s="52"/>
      <c r="Y25" s="52"/>
      <c r="Z25" s="52"/>
      <c r="AA25" s="51"/>
    </row>
    <row r="26" spans="2:27" ht="18" customHeight="1" x14ac:dyDescent="0.25">
      <c r="B26" s="49"/>
      <c r="C26" s="50"/>
      <c r="D26" s="51" t="s">
        <v>524</v>
      </c>
      <c r="E26" s="52"/>
      <c r="F26" s="52"/>
      <c r="G26" s="52"/>
      <c r="H26" s="52"/>
      <c r="I26" s="52"/>
      <c r="J26" s="52"/>
      <c r="K26" s="52"/>
      <c r="L26" s="52"/>
      <c r="M26" s="52"/>
      <c r="N26" s="52"/>
      <c r="O26" s="52"/>
      <c r="P26" s="52"/>
      <c r="Q26" s="52" t="s">
        <v>237</v>
      </c>
      <c r="R26" s="52"/>
      <c r="S26" s="52"/>
      <c r="T26" s="52"/>
      <c r="U26" s="52"/>
      <c r="V26" s="52"/>
      <c r="W26" s="52"/>
      <c r="X26" s="52"/>
      <c r="Y26" s="52"/>
      <c r="Z26" s="52"/>
      <c r="AA26" s="51"/>
    </row>
    <row r="27" spans="2:27" x14ac:dyDescent="0.25">
      <c r="B27" s="49">
        <v>16</v>
      </c>
      <c r="C27" s="50"/>
      <c r="D27" s="51" t="s">
        <v>251</v>
      </c>
      <c r="E27" s="52"/>
      <c r="F27" s="52"/>
      <c r="G27" s="52"/>
      <c r="H27" s="52"/>
      <c r="I27" s="52"/>
      <c r="J27" s="52"/>
      <c r="K27" s="52"/>
      <c r="L27" s="52"/>
      <c r="M27" s="52"/>
      <c r="N27" s="52"/>
      <c r="O27" s="52"/>
      <c r="P27" s="52"/>
      <c r="Q27" s="52"/>
      <c r="R27" s="52"/>
      <c r="S27" s="52"/>
      <c r="T27" s="52"/>
      <c r="U27" s="52"/>
      <c r="V27" s="52"/>
      <c r="W27" s="52"/>
      <c r="X27" s="52"/>
      <c r="Y27" s="52"/>
      <c r="Z27" s="52"/>
      <c r="AA27" s="51"/>
    </row>
    <row r="28" spans="2:27" x14ac:dyDescent="0.25">
      <c r="B28" s="49">
        <v>17</v>
      </c>
      <c r="C28" s="50"/>
      <c r="D28" s="51" t="s">
        <v>252</v>
      </c>
      <c r="E28" s="52"/>
      <c r="F28" s="52"/>
      <c r="G28" s="52"/>
      <c r="H28" s="52"/>
      <c r="I28" s="52"/>
      <c r="J28" s="52"/>
      <c r="K28" s="52"/>
      <c r="L28" s="52"/>
      <c r="M28" s="52"/>
      <c r="N28" s="52"/>
      <c r="O28" s="52"/>
      <c r="P28" s="52"/>
      <c r="Q28" s="52"/>
      <c r="R28" s="52"/>
      <c r="S28" s="52"/>
      <c r="T28" s="52"/>
      <c r="U28" s="52"/>
      <c r="V28" s="52"/>
      <c r="W28" s="52"/>
      <c r="X28" s="52"/>
      <c r="Y28" s="52"/>
      <c r="Z28" s="52"/>
      <c r="AA28" s="51"/>
    </row>
    <row r="29" spans="2:27" x14ac:dyDescent="0.25">
      <c r="B29" s="49"/>
      <c r="C29" s="50"/>
      <c r="D29" s="51" t="s">
        <v>229</v>
      </c>
      <c r="E29" s="52"/>
      <c r="F29" s="52"/>
      <c r="G29" s="52"/>
      <c r="H29" s="52"/>
      <c r="I29" s="52"/>
      <c r="J29" s="52" t="s">
        <v>237</v>
      </c>
      <c r="K29" s="52"/>
      <c r="L29" s="52"/>
      <c r="M29" s="52"/>
      <c r="N29" s="52"/>
      <c r="O29" s="52"/>
      <c r="P29" s="52"/>
      <c r="Q29" s="52"/>
      <c r="R29" s="52"/>
      <c r="S29" s="52"/>
      <c r="T29" s="52"/>
      <c r="U29" s="52"/>
      <c r="V29" s="52"/>
      <c r="W29" s="52"/>
      <c r="X29" s="52"/>
      <c r="Y29" s="52"/>
      <c r="Z29" s="52"/>
      <c r="AA29" s="51"/>
    </row>
    <row r="30" spans="2:27" x14ac:dyDescent="0.25">
      <c r="B30" s="49"/>
      <c r="C30" s="50"/>
      <c r="D30" s="51" t="s">
        <v>253</v>
      </c>
      <c r="E30" s="52"/>
      <c r="F30" s="52"/>
      <c r="G30" s="52"/>
      <c r="H30" s="52"/>
      <c r="I30" s="52"/>
      <c r="J30" s="52" t="s">
        <v>237</v>
      </c>
      <c r="K30" s="52"/>
      <c r="L30" s="52"/>
      <c r="M30" s="52"/>
      <c r="N30" s="52"/>
      <c r="O30" s="52"/>
      <c r="P30" s="52"/>
      <c r="Q30" s="52"/>
      <c r="R30" s="52"/>
      <c r="S30" s="52"/>
      <c r="T30" s="52"/>
      <c r="U30" s="52"/>
      <c r="V30" s="52"/>
      <c r="W30" s="52"/>
      <c r="X30" s="52"/>
      <c r="Y30" s="52"/>
      <c r="Z30" s="52"/>
      <c r="AA30" s="51"/>
    </row>
    <row r="31" spans="2:27" x14ac:dyDescent="0.25">
      <c r="B31" s="49"/>
      <c r="C31" s="50"/>
      <c r="D31" s="51" t="s">
        <v>230</v>
      </c>
      <c r="E31" s="52"/>
      <c r="F31" s="52"/>
      <c r="G31" s="52"/>
      <c r="H31" s="52"/>
      <c r="I31" s="52"/>
      <c r="J31" s="52" t="s">
        <v>237</v>
      </c>
      <c r="K31" s="52"/>
      <c r="L31" s="52"/>
      <c r="M31" s="52"/>
      <c r="N31" s="52" t="s">
        <v>237</v>
      </c>
      <c r="O31" s="52"/>
      <c r="P31" s="52"/>
      <c r="Q31" s="52" t="s">
        <v>237</v>
      </c>
      <c r="R31" s="52"/>
      <c r="S31" s="52"/>
      <c r="T31" s="52"/>
      <c r="U31" s="52"/>
      <c r="V31" s="52"/>
      <c r="W31" s="52"/>
      <c r="X31" s="52"/>
      <c r="Y31" s="52"/>
      <c r="Z31" s="52"/>
      <c r="AA31" s="51"/>
    </row>
    <row r="32" spans="2:27" x14ac:dyDescent="0.25">
      <c r="B32" s="49">
        <v>18</v>
      </c>
      <c r="C32" s="50"/>
      <c r="D32" s="51" t="s">
        <v>254</v>
      </c>
      <c r="E32" s="52"/>
      <c r="F32" s="52"/>
      <c r="G32" s="52"/>
      <c r="H32" s="52"/>
      <c r="I32" s="52"/>
      <c r="J32" s="52" t="s">
        <v>237</v>
      </c>
      <c r="K32" s="52" t="s">
        <v>237</v>
      </c>
      <c r="L32" s="52"/>
      <c r="M32" s="52" t="s">
        <v>237</v>
      </c>
      <c r="N32" s="52"/>
      <c r="O32" s="52"/>
      <c r="P32" s="52"/>
      <c r="Q32" s="52"/>
      <c r="R32" s="52"/>
      <c r="S32" s="52"/>
      <c r="T32" s="52"/>
      <c r="U32" s="52"/>
      <c r="V32" s="52"/>
      <c r="W32" s="52"/>
      <c r="X32" s="52"/>
      <c r="Y32" s="52"/>
      <c r="Z32" s="52"/>
      <c r="AA32" s="51"/>
    </row>
    <row r="33" spans="2:27" x14ac:dyDescent="0.25">
      <c r="B33" s="49">
        <v>19</v>
      </c>
      <c r="C33" s="50"/>
      <c r="D33" s="51" t="s">
        <v>255</v>
      </c>
      <c r="E33" s="52"/>
      <c r="F33" s="52"/>
      <c r="G33" s="52"/>
      <c r="H33" s="52"/>
      <c r="I33" s="52"/>
      <c r="J33" s="52"/>
      <c r="K33" s="52"/>
      <c r="L33" s="52"/>
      <c r="M33" s="52" t="s">
        <v>237</v>
      </c>
      <c r="N33" s="52"/>
      <c r="O33" s="52"/>
      <c r="P33" s="52"/>
      <c r="Q33" s="52"/>
      <c r="R33" s="52"/>
      <c r="S33" s="52"/>
      <c r="T33" s="52"/>
      <c r="U33" s="52"/>
      <c r="V33" s="52"/>
      <c r="W33" s="52"/>
      <c r="X33" s="52"/>
      <c r="Y33" s="52"/>
      <c r="Z33" s="52"/>
      <c r="AA33" s="51"/>
    </row>
    <row r="34" spans="2:27" ht="33.75" x14ac:dyDescent="0.25">
      <c r="B34" s="49">
        <v>20</v>
      </c>
      <c r="C34" s="50"/>
      <c r="D34" s="51" t="s">
        <v>256</v>
      </c>
      <c r="E34" s="52"/>
      <c r="F34" s="52"/>
      <c r="G34" s="52" t="s">
        <v>237</v>
      </c>
      <c r="H34" s="52"/>
      <c r="I34" s="52"/>
      <c r="J34" s="52"/>
      <c r="K34" s="52"/>
      <c r="L34" s="52"/>
      <c r="M34" s="52" t="s">
        <v>237</v>
      </c>
      <c r="N34" s="52" t="s">
        <v>237</v>
      </c>
      <c r="O34" s="52"/>
      <c r="P34" s="52" t="s">
        <v>237</v>
      </c>
      <c r="Q34" s="52"/>
      <c r="R34" s="52"/>
      <c r="S34" s="52"/>
      <c r="T34" s="52"/>
      <c r="U34" s="52"/>
      <c r="V34" s="52"/>
      <c r="W34" s="52"/>
      <c r="X34" s="52"/>
      <c r="Y34" s="52"/>
      <c r="Z34" s="52"/>
      <c r="AA34" s="51"/>
    </row>
    <row r="35" spans="2:27" x14ac:dyDescent="0.25">
      <c r="B35" s="49">
        <v>21</v>
      </c>
      <c r="C35" s="50"/>
      <c r="D35" s="51" t="s">
        <v>257</v>
      </c>
      <c r="E35" s="52"/>
      <c r="F35" s="52"/>
      <c r="G35" s="52" t="s">
        <v>237</v>
      </c>
      <c r="H35" s="52"/>
      <c r="I35" s="52"/>
      <c r="J35" s="52"/>
      <c r="K35" s="52"/>
      <c r="L35" s="52"/>
      <c r="M35" s="52"/>
      <c r="N35" s="52"/>
      <c r="O35" s="52"/>
      <c r="P35" s="52" t="s">
        <v>237</v>
      </c>
      <c r="Q35" s="52"/>
      <c r="R35" s="52"/>
      <c r="S35" s="52"/>
      <c r="T35" s="52"/>
      <c r="U35" s="52"/>
      <c r="V35" s="52"/>
      <c r="W35" s="52"/>
      <c r="X35" s="52"/>
      <c r="Y35" s="52"/>
      <c r="Z35" s="52"/>
      <c r="AA35" s="51"/>
    </row>
    <row r="36" spans="2:27" x14ac:dyDescent="0.25">
      <c r="B36" s="49">
        <v>22</v>
      </c>
      <c r="C36" s="50"/>
      <c r="D36" s="51" t="s">
        <v>258</v>
      </c>
      <c r="E36" s="52"/>
      <c r="F36" s="52"/>
      <c r="G36" s="52"/>
      <c r="H36" s="52"/>
      <c r="I36" s="52"/>
      <c r="J36" s="52" t="s">
        <v>237</v>
      </c>
      <c r="K36" s="52"/>
      <c r="L36" s="52" t="s">
        <v>237</v>
      </c>
      <c r="M36" s="52" t="s">
        <v>237</v>
      </c>
      <c r="N36" s="52"/>
      <c r="O36" s="52"/>
      <c r="P36" s="52"/>
      <c r="Q36" s="52"/>
      <c r="R36" s="52"/>
      <c r="S36" s="52"/>
      <c r="T36" s="52"/>
      <c r="U36" s="52"/>
      <c r="V36" s="52"/>
      <c r="W36" s="52"/>
      <c r="X36" s="52"/>
      <c r="Y36" s="52"/>
      <c r="Z36" s="52"/>
      <c r="AA36" s="51"/>
    </row>
    <row r="37" spans="2:27" ht="22.5" x14ac:dyDescent="0.25">
      <c r="B37" s="49">
        <v>23</v>
      </c>
      <c r="C37" s="50"/>
      <c r="D37" s="51" t="s">
        <v>259</v>
      </c>
      <c r="E37" s="52"/>
      <c r="F37" s="52"/>
      <c r="G37" s="52"/>
      <c r="H37" s="52"/>
      <c r="I37" s="52"/>
      <c r="J37" s="52"/>
      <c r="K37" s="52"/>
      <c r="L37" s="52"/>
      <c r="M37" s="52"/>
      <c r="N37" s="52"/>
      <c r="O37" s="52" t="s">
        <v>237</v>
      </c>
      <c r="P37" s="52" t="s">
        <v>237</v>
      </c>
      <c r="Q37" s="52"/>
      <c r="R37" s="52"/>
      <c r="S37" s="52"/>
      <c r="T37" s="52"/>
      <c r="U37" s="52"/>
      <c r="V37" s="52"/>
      <c r="W37" s="52"/>
      <c r="X37" s="52"/>
      <c r="Y37" s="52"/>
      <c r="Z37" s="52"/>
      <c r="AA37" s="51"/>
    </row>
    <row r="38" spans="2:27" ht="22.5" x14ac:dyDescent="0.25">
      <c r="B38" s="49">
        <v>24</v>
      </c>
      <c r="C38" s="50"/>
      <c r="D38" s="51" t="s">
        <v>260</v>
      </c>
      <c r="E38" s="52"/>
      <c r="F38" s="52"/>
      <c r="G38" s="52"/>
      <c r="H38" s="52"/>
      <c r="I38" s="52"/>
      <c r="J38" s="52"/>
      <c r="K38" s="52"/>
      <c r="L38" s="52"/>
      <c r="M38" s="52"/>
      <c r="N38" s="52"/>
      <c r="O38" s="52"/>
      <c r="P38" s="52" t="s">
        <v>237</v>
      </c>
      <c r="Q38" s="52"/>
      <c r="R38" s="52"/>
      <c r="S38" s="52"/>
      <c r="T38" s="52"/>
      <c r="U38" s="52"/>
      <c r="V38" s="52"/>
      <c r="W38" s="52"/>
      <c r="X38" s="52"/>
      <c r="Y38" s="52"/>
      <c r="Z38" s="52"/>
      <c r="AA38" s="51"/>
    </row>
    <row r="39" spans="2:27" ht="22.5" x14ac:dyDescent="0.25">
      <c r="B39" s="49">
        <v>25</v>
      </c>
      <c r="C39" s="50"/>
      <c r="D39" s="51" t="s">
        <v>261</v>
      </c>
      <c r="E39" s="52"/>
      <c r="F39" s="52"/>
      <c r="G39" s="52"/>
      <c r="H39" s="52"/>
      <c r="I39" s="52"/>
      <c r="J39" s="52"/>
      <c r="K39" s="52"/>
      <c r="L39" s="52"/>
      <c r="M39" s="52"/>
      <c r="N39" s="52"/>
      <c r="O39" s="52"/>
      <c r="P39" s="52"/>
      <c r="Q39" s="52"/>
      <c r="R39" s="52"/>
      <c r="S39" s="52"/>
      <c r="T39" s="52"/>
      <c r="U39" s="52"/>
      <c r="V39" s="52"/>
      <c r="W39" s="52"/>
      <c r="X39" s="52"/>
      <c r="Y39" s="52"/>
      <c r="Z39" s="52"/>
      <c r="AA39" s="51"/>
    </row>
    <row r="40" spans="2:27" ht="22.5" x14ac:dyDescent="0.25">
      <c r="B40" s="49">
        <v>25</v>
      </c>
      <c r="C40" s="50"/>
      <c r="D40" s="51" t="s">
        <v>510</v>
      </c>
      <c r="E40" s="52"/>
      <c r="F40" s="52" t="s">
        <v>237</v>
      </c>
      <c r="G40" s="52"/>
      <c r="H40" s="52"/>
      <c r="I40" s="52"/>
      <c r="J40" s="52"/>
      <c r="K40" s="52"/>
      <c r="L40" s="52"/>
      <c r="M40" s="52"/>
      <c r="N40" s="52"/>
      <c r="O40" s="52"/>
      <c r="P40" s="52"/>
      <c r="Q40" s="52"/>
      <c r="R40" s="52"/>
      <c r="S40" s="52"/>
      <c r="T40" s="52"/>
      <c r="U40" s="52"/>
      <c r="V40" s="52"/>
      <c r="W40" s="52"/>
      <c r="X40" s="52"/>
      <c r="Y40" s="52"/>
      <c r="Z40" s="52"/>
      <c r="AA40" s="51"/>
    </row>
  </sheetData>
  <mergeCells count="26">
    <mergeCell ref="AA2:AA3"/>
    <mergeCell ref="Y2:Y3"/>
    <mergeCell ref="Z2:Z3"/>
    <mergeCell ref="H2:H3"/>
    <mergeCell ref="I2:I3"/>
    <mergeCell ref="J2:J3"/>
    <mergeCell ref="K2:K3"/>
    <mergeCell ref="L2:L3"/>
    <mergeCell ref="M2:M3"/>
    <mergeCell ref="W2:W3"/>
    <mergeCell ref="X2:X3"/>
    <mergeCell ref="N2:N3"/>
    <mergeCell ref="O2:O3"/>
    <mergeCell ref="P2:P3"/>
    <mergeCell ref="Q2:Q3"/>
    <mergeCell ref="R2:R3"/>
    <mergeCell ref="S2:S3"/>
    <mergeCell ref="T2:T3"/>
    <mergeCell ref="U2:U3"/>
    <mergeCell ref="V2:V3"/>
    <mergeCell ref="G2:G3"/>
    <mergeCell ref="B2:B3"/>
    <mergeCell ref="C2:C3"/>
    <mergeCell ref="D2:D3"/>
    <mergeCell ref="E2:E3"/>
    <mergeCell ref="F2:F3"/>
  </mergeCells>
  <pageMargins left="0.23622047244094491" right="0.23622047244094491" top="0.74803149606299213" bottom="0.74803149606299213" header="0.31496062992125984" footer="0.31496062992125984"/>
  <pageSetup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6"/>
  <dimension ref="A1:AW21"/>
  <sheetViews>
    <sheetView topLeftCell="B1" zoomScale="70" zoomScaleNormal="70" workbookViewId="0">
      <selection activeCell="K10" sqref="K10"/>
    </sheetView>
  </sheetViews>
  <sheetFormatPr baseColWidth="10" defaultRowHeight="15" x14ac:dyDescent="0.25"/>
  <cols>
    <col min="1" max="1" width="21.42578125" style="28" customWidth="1"/>
    <col min="2" max="2" width="29.140625" style="28" customWidth="1"/>
    <col min="3" max="3" width="38.7109375" style="28" customWidth="1"/>
    <col min="4" max="4" width="31" style="28" customWidth="1"/>
    <col min="5" max="5" width="20.7109375" style="28" customWidth="1"/>
    <col min="6" max="6" width="14.42578125" style="36" customWidth="1"/>
    <col min="7" max="7" width="16.85546875" style="28" customWidth="1"/>
    <col min="8" max="8" width="28.5703125" style="28" customWidth="1"/>
    <col min="9" max="10" width="16.5703125" style="28" customWidth="1"/>
    <col min="11" max="11" width="22.140625" style="28" customWidth="1"/>
    <col min="12" max="12" width="19.42578125" style="28" customWidth="1"/>
    <col min="13" max="13" width="19.42578125" style="54" customWidth="1"/>
    <col min="14" max="14" width="19.42578125" style="28" customWidth="1"/>
    <col min="15" max="15" width="22" style="28" customWidth="1"/>
    <col min="16" max="16" width="41.7109375" customWidth="1"/>
    <col min="17" max="17" width="43.140625" customWidth="1"/>
    <col min="18" max="18" width="22.140625" style="28" customWidth="1"/>
    <col min="19" max="19" width="19.42578125" style="54" hidden="1" customWidth="1"/>
    <col min="20" max="20" width="19.42578125" style="28" hidden="1" customWidth="1"/>
    <col min="21" max="21" width="22" style="28" hidden="1" customWidth="1"/>
    <col min="22" max="22" width="18.140625" style="28" hidden="1" customWidth="1"/>
    <col min="23" max="23" width="35.5703125" hidden="1" customWidth="1"/>
    <col min="24" max="24" width="32.28515625" hidden="1" customWidth="1"/>
    <col min="25" max="25" width="22.140625" style="28" hidden="1" customWidth="1"/>
    <col min="26" max="26" width="19.42578125" style="123" hidden="1" customWidth="1"/>
    <col min="27" max="27" width="19.42578125" style="28" hidden="1" customWidth="1"/>
    <col min="28" max="28" width="17.85546875" style="28" hidden="1" customWidth="1"/>
    <col min="29" max="29" width="18.140625" style="28" hidden="1" customWidth="1"/>
    <col min="30" max="30" width="35.5703125" hidden="1" customWidth="1"/>
    <col min="31" max="31" width="46.7109375" hidden="1" customWidth="1"/>
    <col min="32" max="32" width="22.140625" style="28" hidden="1" customWidth="1"/>
    <col min="33" max="33" width="21.5703125" style="123" hidden="1" customWidth="1"/>
    <col min="34" max="37" width="21.5703125" style="28" hidden="1" customWidth="1"/>
    <col min="38" max="38" width="35.5703125" hidden="1" customWidth="1"/>
    <col min="39" max="39" width="32.85546875" hidden="1" customWidth="1"/>
    <col min="40" max="40" width="22.140625" style="28" hidden="1" customWidth="1"/>
    <col min="41" max="41" width="17.7109375" style="28" customWidth="1"/>
    <col min="42" max="42" width="17.85546875" style="28" customWidth="1"/>
    <col min="43" max="43" width="19.140625" style="28" customWidth="1"/>
    <col min="44" max="44" width="18.7109375" style="28" customWidth="1"/>
    <col min="45" max="45" width="21" style="28" customWidth="1"/>
    <col min="46" max="46" width="26.5703125" style="28" customWidth="1"/>
    <col min="47" max="47" width="24.5703125" style="28" customWidth="1"/>
    <col min="48" max="48" width="28.140625" style="28" customWidth="1"/>
    <col min="49" max="49" width="27.85546875" style="28" customWidth="1"/>
    <col min="50" max="50" width="11.42578125" style="28"/>
    <col min="51" max="51" width="11.42578125" style="28" customWidth="1"/>
    <col min="52" max="16384" width="11.42578125" style="28"/>
  </cols>
  <sheetData>
    <row r="1" spans="1:49" ht="75.75" customHeight="1" x14ac:dyDescent="0.2">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77"/>
      <c r="AV1" s="577"/>
      <c r="AW1" s="577"/>
    </row>
    <row r="2" spans="1:49" ht="41.25" customHeight="1" x14ac:dyDescent="0.2">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77"/>
      <c r="AV2" s="577"/>
      <c r="AW2" s="577"/>
    </row>
    <row r="3" spans="1:49" ht="41.25" customHeight="1" x14ac:dyDescent="0.2">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78" t="s">
        <v>718</v>
      </c>
      <c r="AV3" s="578"/>
      <c r="AW3" s="578"/>
    </row>
    <row r="4" spans="1:49" ht="32.25" customHeight="1" thickBot="1" x14ac:dyDescent="0.25">
      <c r="A4" s="572" t="s">
        <v>193</v>
      </c>
      <c r="B4" s="572"/>
      <c r="C4" s="572"/>
      <c r="D4" s="572"/>
      <c r="M4" s="576" t="s">
        <v>546</v>
      </c>
      <c r="N4" s="576"/>
      <c r="O4" s="576"/>
      <c r="P4" s="28"/>
      <c r="Q4" s="28"/>
      <c r="S4" s="576" t="s">
        <v>546</v>
      </c>
      <c r="T4" s="576"/>
      <c r="U4" s="576"/>
      <c r="V4" s="576"/>
      <c r="W4" s="28"/>
      <c r="X4" s="28"/>
      <c r="AD4" s="28"/>
      <c r="AE4" s="28"/>
      <c r="AL4" s="28"/>
      <c r="AM4" s="28"/>
    </row>
    <row r="5" spans="1:49" ht="57" customHeight="1" x14ac:dyDescent="0.2">
      <c r="A5" s="583" t="s">
        <v>1</v>
      </c>
      <c r="B5" s="575" t="s">
        <v>3</v>
      </c>
      <c r="C5" s="575" t="s">
        <v>194</v>
      </c>
      <c r="D5" s="575" t="s">
        <v>195</v>
      </c>
      <c r="E5" s="575" t="s">
        <v>196</v>
      </c>
      <c r="F5" s="581" t="s">
        <v>781</v>
      </c>
      <c r="G5" s="575" t="s">
        <v>228</v>
      </c>
      <c r="H5" s="575" t="s">
        <v>227</v>
      </c>
      <c r="I5" s="575" t="s">
        <v>8</v>
      </c>
      <c r="J5" s="575" t="s">
        <v>481</v>
      </c>
      <c r="K5" s="575" t="s">
        <v>501</v>
      </c>
      <c r="L5" s="579" t="s">
        <v>9</v>
      </c>
      <c r="M5" s="424"/>
      <c r="N5" s="194"/>
      <c r="O5" s="194"/>
      <c r="P5" s="573" t="s">
        <v>414</v>
      </c>
      <c r="Q5" s="573" t="s">
        <v>416</v>
      </c>
      <c r="R5" s="563" t="s">
        <v>776</v>
      </c>
      <c r="S5" s="424"/>
      <c r="T5" s="194"/>
      <c r="U5" s="194"/>
      <c r="V5" s="194"/>
      <c r="W5" s="573" t="s">
        <v>414</v>
      </c>
      <c r="X5" s="573" t="s">
        <v>416</v>
      </c>
      <c r="Y5" s="563" t="s">
        <v>474</v>
      </c>
      <c r="Z5" s="177"/>
      <c r="AA5" s="194"/>
      <c r="AB5" s="194"/>
      <c r="AC5" s="194"/>
      <c r="AD5" s="573" t="s">
        <v>414</v>
      </c>
      <c r="AE5" s="573" t="s">
        <v>416</v>
      </c>
      <c r="AF5" s="563" t="s">
        <v>477</v>
      </c>
      <c r="AG5" s="177"/>
      <c r="AH5" s="194"/>
      <c r="AI5" s="194"/>
      <c r="AJ5" s="194"/>
      <c r="AK5" s="194"/>
      <c r="AL5" s="573" t="s">
        <v>414</v>
      </c>
      <c r="AM5" s="573" t="s">
        <v>416</v>
      </c>
      <c r="AN5" s="563" t="s">
        <v>479</v>
      </c>
      <c r="AO5" s="565" t="s">
        <v>11</v>
      </c>
      <c r="AP5" s="566"/>
      <c r="AQ5" s="566"/>
      <c r="AR5" s="566"/>
      <c r="AS5" s="567"/>
      <c r="AT5" s="569" t="s">
        <v>539</v>
      </c>
      <c r="AU5" s="570"/>
      <c r="AV5" s="570"/>
      <c r="AW5" s="571"/>
    </row>
    <row r="6" spans="1:49" ht="63" customHeight="1" x14ac:dyDescent="0.2">
      <c r="A6" s="584"/>
      <c r="B6" s="514"/>
      <c r="C6" s="514"/>
      <c r="D6" s="514"/>
      <c r="E6" s="514"/>
      <c r="F6" s="582"/>
      <c r="G6" s="514"/>
      <c r="H6" s="514"/>
      <c r="I6" s="514"/>
      <c r="J6" s="514"/>
      <c r="K6" s="514"/>
      <c r="L6" s="580"/>
      <c r="M6" s="457" t="s">
        <v>775</v>
      </c>
      <c r="N6" s="4" t="s">
        <v>775</v>
      </c>
      <c r="O6" s="4" t="s">
        <v>775</v>
      </c>
      <c r="P6" s="574"/>
      <c r="Q6" s="574"/>
      <c r="R6" s="564"/>
      <c r="S6" s="141" t="s">
        <v>298</v>
      </c>
      <c r="T6" s="4" t="s">
        <v>298</v>
      </c>
      <c r="U6" s="4" t="s">
        <v>298</v>
      </c>
      <c r="V6" s="4" t="s">
        <v>298</v>
      </c>
      <c r="W6" s="574"/>
      <c r="X6" s="574"/>
      <c r="Y6" s="564"/>
      <c r="Z6" s="141" t="s">
        <v>287</v>
      </c>
      <c r="AA6" s="4" t="s">
        <v>287</v>
      </c>
      <c r="AB6" s="4" t="s">
        <v>287</v>
      </c>
      <c r="AC6" s="4" t="s">
        <v>287</v>
      </c>
      <c r="AD6" s="574"/>
      <c r="AE6" s="574"/>
      <c r="AF6" s="564"/>
      <c r="AG6" s="141" t="s">
        <v>288</v>
      </c>
      <c r="AH6" s="4" t="s">
        <v>288</v>
      </c>
      <c r="AI6" s="4" t="s">
        <v>288</v>
      </c>
      <c r="AJ6" s="4" t="s">
        <v>288</v>
      </c>
      <c r="AK6" s="4" t="s">
        <v>288</v>
      </c>
      <c r="AL6" s="574"/>
      <c r="AM6" s="574"/>
      <c r="AN6" s="564"/>
      <c r="AO6" s="205" t="s">
        <v>198</v>
      </c>
      <c r="AP6" s="124" t="s">
        <v>199</v>
      </c>
      <c r="AQ6" s="124" t="s">
        <v>200</v>
      </c>
      <c r="AR6" s="124" t="s">
        <v>201</v>
      </c>
      <c r="AS6" s="206" t="s">
        <v>20</v>
      </c>
      <c r="AT6" s="159" t="s">
        <v>202</v>
      </c>
      <c r="AU6" s="31" t="s">
        <v>203</v>
      </c>
      <c r="AV6" s="31" t="s">
        <v>204</v>
      </c>
      <c r="AW6" s="160" t="s">
        <v>205</v>
      </c>
    </row>
    <row r="7" spans="1:49" s="35" customFormat="1" ht="56.25" customHeight="1" x14ac:dyDescent="0.25">
      <c r="A7" s="613" t="s">
        <v>206</v>
      </c>
      <c r="B7" s="585" t="s">
        <v>207</v>
      </c>
      <c r="C7" s="585" t="s">
        <v>208</v>
      </c>
      <c r="D7" s="585" t="s">
        <v>209</v>
      </c>
      <c r="E7" s="585" t="s">
        <v>210</v>
      </c>
      <c r="F7" s="610">
        <v>0.8</v>
      </c>
      <c r="G7" s="6" t="s">
        <v>847</v>
      </c>
      <c r="H7" s="61" t="s">
        <v>848</v>
      </c>
      <c r="I7" s="6" t="s">
        <v>828</v>
      </c>
      <c r="J7" s="6" t="s">
        <v>494</v>
      </c>
      <c r="K7" s="299" t="s">
        <v>850</v>
      </c>
      <c r="L7" s="598" t="s">
        <v>777</v>
      </c>
      <c r="M7" s="331"/>
      <c r="N7" s="55"/>
      <c r="O7" s="358"/>
      <c r="P7" s="55"/>
      <c r="Q7" s="125"/>
      <c r="R7" s="218" t="e">
        <f>AVERAGE(M7:O7)</f>
        <v>#DIV/0!</v>
      </c>
      <c r="S7" s="142"/>
      <c r="T7" s="55"/>
      <c r="U7" s="358"/>
      <c r="V7" s="7"/>
      <c r="W7" s="55"/>
      <c r="X7" s="125"/>
      <c r="Y7" s="143" t="e">
        <f>AVERAGE(T7:V7)</f>
        <v>#DIV/0!</v>
      </c>
      <c r="Z7" s="142"/>
      <c r="AA7" s="358"/>
      <c r="AB7" s="358"/>
      <c r="AC7" s="8"/>
      <c r="AD7" s="55"/>
      <c r="AE7" s="125"/>
      <c r="AF7" s="143" t="e">
        <f>AVERAGE(Z7:AC7)</f>
        <v>#DIV/0!</v>
      </c>
      <c r="AG7" s="142"/>
      <c r="AH7" s="55"/>
      <c r="AI7" s="55"/>
      <c r="AJ7" s="7"/>
      <c r="AK7" s="55"/>
      <c r="AL7" s="440"/>
      <c r="AM7" s="441"/>
      <c r="AN7" s="143" t="e">
        <f>+AVERAGE(AG7:AK7)</f>
        <v>#DIV/0!</v>
      </c>
      <c r="AO7" s="25" t="str">
        <f>IFERROR(IF(R7&gt;=15,1,(X7*100%)/100),"-")</f>
        <v>-</v>
      </c>
      <c r="AP7" s="25" t="str">
        <f>IFERROR(IF(Y7&gt;=0.9,1,(Y7*100%)/0.9),"-")</f>
        <v>-</v>
      </c>
      <c r="AQ7" s="25" t="str">
        <f>IFERROR(IF(AF7&gt;=0.9,1,(AF7*100%)/0.9),"-")</f>
        <v>-</v>
      </c>
      <c r="AR7" s="25" t="str">
        <f>IFERROR(IF(AN7&gt;=0.9,1,(AN7*100%)/0.9),"-")</f>
        <v>-</v>
      </c>
      <c r="AS7" s="157" t="str">
        <f>IFERROR(AVERAGE(AO7:AR7),"-")</f>
        <v>-</v>
      </c>
      <c r="AT7" s="161"/>
      <c r="AU7" s="33"/>
      <c r="AV7" s="34"/>
      <c r="AW7" s="162"/>
    </row>
    <row r="8" spans="1:49" ht="57" customHeight="1" x14ac:dyDescent="0.2">
      <c r="A8" s="614"/>
      <c r="B8" s="586"/>
      <c r="C8" s="586"/>
      <c r="D8" s="586"/>
      <c r="E8" s="586"/>
      <c r="F8" s="611"/>
      <c r="G8" s="6" t="s">
        <v>843</v>
      </c>
      <c r="H8" s="61" t="s">
        <v>829</v>
      </c>
      <c r="I8" s="6">
        <v>0.8</v>
      </c>
      <c r="J8" s="6" t="s">
        <v>494</v>
      </c>
      <c r="K8" s="299" t="s">
        <v>849</v>
      </c>
      <c r="L8" s="599"/>
      <c r="M8" s="142"/>
      <c r="N8" s="8"/>
      <c r="O8" s="8"/>
      <c r="P8" s="129"/>
      <c r="Q8" s="300"/>
      <c r="R8" s="143" t="e">
        <f>AVERAGE(M8:O8)</f>
        <v>#DIV/0!</v>
      </c>
      <c r="S8" s="142"/>
      <c r="T8" s="8"/>
      <c r="U8" s="8"/>
      <c r="V8" s="8"/>
      <c r="W8" s="129"/>
      <c r="X8" s="300"/>
      <c r="Y8" s="143" t="e">
        <f>AVERAGE(S8:V8)</f>
        <v>#DIV/0!</v>
      </c>
      <c r="Z8" s="142"/>
      <c r="AA8" s="7"/>
      <c r="AB8" s="7"/>
      <c r="AC8" s="7"/>
      <c r="AD8" s="129"/>
      <c r="AE8" s="125"/>
      <c r="AF8" s="143" t="e">
        <f>AVERAGE(Z8:AC8)</f>
        <v>#DIV/0!</v>
      </c>
      <c r="AG8" s="142"/>
      <c r="AH8" s="7"/>
      <c r="AI8" s="7"/>
      <c r="AJ8" s="7"/>
      <c r="AK8" s="7"/>
      <c r="AL8" s="442"/>
      <c r="AM8" s="443"/>
      <c r="AN8" s="143" t="e">
        <f>+AVERAGE(AG8:AK8)</f>
        <v>#DIV/0!</v>
      </c>
      <c r="AO8" s="25" t="str">
        <f>IFERROR(IF(R8&gt;=0.9,1,(X8*100%)/0.9),"-")</f>
        <v>-</v>
      </c>
      <c r="AP8" s="25" t="str">
        <f>IFERROR(IF(Y8&gt;=0.9,1,(Y8*100%)/0.9),"-")</f>
        <v>-</v>
      </c>
      <c r="AQ8" s="25" t="str">
        <f>IFERROR(IF(AF8&gt;=0.9,1,(AF8*100%)/0.9),"-")</f>
        <v>-</v>
      </c>
      <c r="AR8" s="25" t="str">
        <f>IFERROR(IF(AN8&gt;=0.9,1,(AN8*100%)/0.9),"-")</f>
        <v>-</v>
      </c>
      <c r="AS8" s="157" t="str">
        <f>IFERROR(AVERAGE(AO8:AR8),"-")</f>
        <v>-</v>
      </c>
      <c r="AT8" s="163"/>
      <c r="AU8" s="29"/>
      <c r="AV8" s="27"/>
      <c r="AW8" s="164"/>
    </row>
    <row r="9" spans="1:49" ht="54.75" customHeight="1" x14ac:dyDescent="0.2">
      <c r="A9" s="614"/>
      <c r="B9" s="586"/>
      <c r="C9" s="586"/>
      <c r="D9" s="586"/>
      <c r="E9" s="586"/>
      <c r="F9" s="611"/>
      <c r="G9" s="409" t="s">
        <v>830</v>
      </c>
      <c r="H9" s="410" t="s">
        <v>831</v>
      </c>
      <c r="I9" s="6">
        <v>1</v>
      </c>
      <c r="J9" s="6" t="s">
        <v>669</v>
      </c>
      <c r="K9" s="299" t="s">
        <v>832</v>
      </c>
      <c r="L9" s="599"/>
      <c r="M9" s="142"/>
      <c r="N9" s="8"/>
      <c r="O9" s="8"/>
      <c r="P9" s="127"/>
      <c r="Q9" s="403"/>
      <c r="R9" s="143" t="e">
        <f>AVERAGE(M9:O9)</f>
        <v>#DIV/0!</v>
      </c>
      <c r="S9" s="142"/>
      <c r="T9" s="8"/>
      <c r="U9" s="8"/>
      <c r="V9" s="8"/>
      <c r="W9" s="127"/>
      <c r="X9" s="403"/>
      <c r="Y9" s="143" t="e">
        <f>AVERAGE(S9:V9)</f>
        <v>#DIV/0!</v>
      </c>
      <c r="Z9" s="142"/>
      <c r="AA9" s="7"/>
      <c r="AB9" s="7"/>
      <c r="AC9" s="7"/>
      <c r="AD9" s="127"/>
      <c r="AE9" s="372"/>
      <c r="AF9" s="143" t="e">
        <f>AVERAGE(Z9:AC9)</f>
        <v>#DIV/0!</v>
      </c>
      <c r="AG9" s="142"/>
      <c r="AH9" s="7"/>
      <c r="AI9" s="7"/>
      <c r="AJ9" s="7"/>
      <c r="AK9" s="7"/>
      <c r="AL9" s="444"/>
      <c r="AM9" s="445"/>
      <c r="AN9" s="143" t="e">
        <f>+AVERAGE(AG9:AK9)</f>
        <v>#DIV/0!</v>
      </c>
      <c r="AO9" s="25" t="str">
        <f>IFERROR(IF(R9&gt;=0.9,1,(X9*100%)/0.9),"-")</f>
        <v>-</v>
      </c>
      <c r="AP9" s="25" t="str">
        <f>IFERROR(IF(Y9&gt;=0.6,1,(Y9*100%)/0.6),"-")</f>
        <v>-</v>
      </c>
      <c r="AQ9" s="25" t="str">
        <f>IFERROR(IF(AF9&gt;=0.6,1,(AF9*100%)/0.6),"-")</f>
        <v>-</v>
      </c>
      <c r="AR9" s="25" t="str">
        <f>IFERROR(IF(AN9&gt;=0.6,1,(AN9*100%)/0.6),"-")</f>
        <v>-</v>
      </c>
      <c r="AS9" s="157" t="str">
        <f>IFERROR(AVERAGE(AO9:AR9),"-")</f>
        <v>-</v>
      </c>
      <c r="AT9" s="163"/>
      <c r="AU9" s="29"/>
      <c r="AV9" s="27"/>
      <c r="AW9" s="193"/>
    </row>
    <row r="10" spans="1:49" ht="59.25" customHeight="1" x14ac:dyDescent="0.2">
      <c r="A10" s="614"/>
      <c r="B10" s="586"/>
      <c r="C10" s="586"/>
      <c r="D10" s="586"/>
      <c r="E10" s="586"/>
      <c r="F10" s="611"/>
      <c r="G10" s="6" t="s">
        <v>833</v>
      </c>
      <c r="H10" s="61" t="s">
        <v>834</v>
      </c>
      <c r="I10" s="6">
        <v>0.8</v>
      </c>
      <c r="J10" s="6" t="s">
        <v>669</v>
      </c>
      <c r="K10" s="299" t="s">
        <v>851</v>
      </c>
      <c r="L10" s="599"/>
      <c r="M10" s="142"/>
      <c r="N10" s="8"/>
      <c r="O10" s="8"/>
      <c r="P10" s="127"/>
      <c r="Q10" s="403"/>
      <c r="R10" s="143" t="e">
        <f>AVERAGE(M10:O10)</f>
        <v>#DIV/0!</v>
      </c>
      <c r="S10" s="142"/>
      <c r="T10" s="8"/>
      <c r="U10" s="8"/>
      <c r="V10" s="8"/>
      <c r="W10" s="127"/>
      <c r="X10" s="403"/>
      <c r="Y10" s="143" t="e">
        <f>AVERAGE(S10:V10)</f>
        <v>#DIV/0!</v>
      </c>
      <c r="Z10" s="142"/>
      <c r="AA10" s="7"/>
      <c r="AB10" s="7"/>
      <c r="AC10" s="7"/>
      <c r="AD10" s="127"/>
      <c r="AE10" s="372"/>
      <c r="AF10" s="143" t="e">
        <f>AVERAGE(Z10:AC10)</f>
        <v>#DIV/0!</v>
      </c>
      <c r="AG10" s="142"/>
      <c r="AH10" s="7"/>
      <c r="AI10" s="7"/>
      <c r="AJ10" s="7"/>
      <c r="AK10" s="7"/>
      <c r="AL10" s="444"/>
      <c r="AM10" s="446"/>
      <c r="AN10" s="143" t="e">
        <f>+AVERAGE(AG10:AK10)</f>
        <v>#DIV/0!</v>
      </c>
      <c r="AO10" s="25" t="str">
        <f>IFERROR(IF(R10&gt;=0.9,1,(X10*100%)/0.9),"-")</f>
        <v>-</v>
      </c>
      <c r="AP10" s="25" t="str">
        <f>IFERROR(IF(Y10&gt;=0.6,1,(Y10*100%)/0.6),"-")</f>
        <v>-</v>
      </c>
      <c r="AQ10" s="25" t="str">
        <f>IFERROR(IF(AF10&gt;=0.6,1,(AF10*100%)/0.6),"-")</f>
        <v>-</v>
      </c>
      <c r="AR10" s="25" t="str">
        <f>IFERROR(IF(AN10&gt;=0.6,1,(AN10*100%)/0.6),"-")</f>
        <v>-</v>
      </c>
      <c r="AS10" s="157" t="str">
        <f>IFERROR(AVERAGE(AO10:AR10),"-")</f>
        <v>-</v>
      </c>
      <c r="AT10" s="163"/>
      <c r="AU10" s="29"/>
      <c r="AV10" s="27"/>
      <c r="AW10" s="193"/>
    </row>
    <row r="11" spans="1:49" ht="42" customHeight="1" x14ac:dyDescent="0.25">
      <c r="A11" s="615"/>
      <c r="B11" s="587"/>
      <c r="C11" s="587"/>
      <c r="D11" s="587"/>
      <c r="E11" s="587"/>
      <c r="F11" s="612"/>
      <c r="G11" s="604" t="s">
        <v>568</v>
      </c>
      <c r="H11" s="605"/>
      <c r="I11" s="605"/>
      <c r="J11" s="605"/>
      <c r="K11" s="606"/>
      <c r="L11" s="600"/>
      <c r="M11" s="142"/>
      <c r="N11" s="7"/>
      <c r="O11" s="7"/>
      <c r="P11" s="128"/>
      <c r="Q11" s="126"/>
      <c r="R11" s="592" t="str">
        <f>IFERROR(AVERAGE(R7:R10),"-")</f>
        <v>-</v>
      </c>
      <c r="S11" s="142"/>
      <c r="T11" s="7"/>
      <c r="U11" s="7"/>
      <c r="V11" s="7"/>
      <c r="W11" s="128"/>
      <c r="X11" s="126"/>
      <c r="Y11" s="592" t="str">
        <f>IFERROR(AVERAGE(Y7:Y10),"-")</f>
        <v>-</v>
      </c>
      <c r="Z11" s="142"/>
      <c r="AA11" s="7"/>
      <c r="AB11" s="7"/>
      <c r="AC11" s="7"/>
      <c r="AD11" s="128"/>
      <c r="AE11" s="126"/>
      <c r="AF11" s="143" t="e">
        <f>AVERAGE(Z11:AC11)</f>
        <v>#DIV/0!</v>
      </c>
      <c r="AG11" s="142"/>
      <c r="AH11" s="7"/>
      <c r="AI11" s="7"/>
      <c r="AJ11" s="7"/>
      <c r="AK11" s="7"/>
      <c r="AL11" s="128"/>
      <c r="AM11" s="126"/>
      <c r="AN11" s="143" t="e">
        <f>+AVERAGE(AG11:AK11)</f>
        <v>#DIV/0!</v>
      </c>
      <c r="AO11" s="25" t="str">
        <f>IFERROR((#REF!*100%)/$I$11,"-")</f>
        <v>-</v>
      </c>
      <c r="AP11" s="25" t="str">
        <f>IFERROR((#REF!*100%)/$I$11,"-")</f>
        <v>-</v>
      </c>
      <c r="AQ11" s="25" t="str">
        <f>IFERROR((AF11*100%)/$I$11,"-")</f>
        <v>-</v>
      </c>
      <c r="AR11" s="25" t="str">
        <f>IFERROR((AN11*100%)/$I$11,"-")</f>
        <v>-</v>
      </c>
      <c r="AS11" s="157" t="str">
        <f>IFERROR(AVERAGE(AO11:AR11),"-")</f>
        <v>-</v>
      </c>
      <c r="AT11" s="163"/>
      <c r="AU11" s="29"/>
      <c r="AV11" s="27"/>
      <c r="AW11" s="193"/>
    </row>
    <row r="12" spans="1:49" ht="45.6" customHeight="1" thickBot="1" x14ac:dyDescent="0.3">
      <c r="A12" s="601" t="s">
        <v>569</v>
      </c>
      <c r="B12" s="602"/>
      <c r="C12" s="602"/>
      <c r="D12" s="602"/>
      <c r="E12" s="602"/>
      <c r="F12" s="602"/>
      <c r="G12" s="602"/>
      <c r="H12" s="602"/>
      <c r="I12" s="602"/>
      <c r="J12" s="602"/>
      <c r="K12" s="603"/>
      <c r="L12" s="429" t="s">
        <v>760</v>
      </c>
      <c r="M12" s="313" t="str">
        <f>IFERROR(AVERAGE(M7:M11),"-")</f>
        <v>-</v>
      </c>
      <c r="N12" s="314" t="str">
        <f>IFERROR(AVERAGE(N7:N11),"-")</f>
        <v>-</v>
      </c>
      <c r="O12" s="314" t="str">
        <f>IFERROR(AVERAGE(O7:O11),"-")</f>
        <v>-</v>
      </c>
      <c r="P12" s="202"/>
      <c r="Q12" s="126"/>
      <c r="R12" s="593"/>
      <c r="S12" s="313" t="str">
        <f>IFERROR(AVERAGE(S7:S11),"-")</f>
        <v>-</v>
      </c>
      <c r="T12" s="314" t="str">
        <f>IFERROR(AVERAGE(T7:T11),"-")</f>
        <v>-</v>
      </c>
      <c r="U12" s="314" t="str">
        <f>IFERROR(AVERAGE(U7:U11),"-")</f>
        <v>-</v>
      </c>
      <c r="V12" s="314" t="str">
        <f t="shared" ref="V12" si="0">IFERROR(AVERAGE(V7:V11),"-")</f>
        <v>-</v>
      </c>
      <c r="W12" s="202"/>
      <c r="X12" s="126"/>
      <c r="Y12" s="593"/>
      <c r="Z12" s="313" t="str">
        <f t="shared" ref="Z12:AC12" si="1">IFERROR(AVERAGE(Z7:Z11),"-")</f>
        <v>-</v>
      </c>
      <c r="AA12" s="314" t="str">
        <f t="shared" si="1"/>
        <v>-</v>
      </c>
      <c r="AB12" s="314" t="str">
        <f t="shared" si="1"/>
        <v>-</v>
      </c>
      <c r="AC12" s="314" t="str">
        <f t="shared" si="1"/>
        <v>-</v>
      </c>
      <c r="AD12" s="202"/>
      <c r="AE12" s="126"/>
      <c r="AF12" s="450" t="str">
        <f t="shared" ref="AF12:AK12" si="2">IFERROR(AVERAGE(AF7:AF11),"-")</f>
        <v>-</v>
      </c>
      <c r="AG12" s="170" t="str">
        <f t="shared" si="2"/>
        <v>-</v>
      </c>
      <c r="AH12" s="171" t="str">
        <f t="shared" si="2"/>
        <v>-</v>
      </c>
      <c r="AI12" s="171" t="str">
        <f t="shared" si="2"/>
        <v>-</v>
      </c>
      <c r="AJ12" s="171" t="str">
        <f t="shared" si="2"/>
        <v>-</v>
      </c>
      <c r="AK12" s="171" t="str">
        <f t="shared" si="2"/>
        <v>-</v>
      </c>
      <c r="AL12" s="202"/>
      <c r="AM12" s="126"/>
      <c r="AN12" s="450" t="str">
        <f t="shared" ref="AN12:AS12" si="3">IFERROR(AVERAGE(AN7:AN11),"-")</f>
        <v>-</v>
      </c>
      <c r="AO12" s="170" t="str">
        <f t="shared" si="3"/>
        <v>-</v>
      </c>
      <c r="AP12" s="171" t="str">
        <f t="shared" si="3"/>
        <v>-</v>
      </c>
      <c r="AQ12" s="171" t="str">
        <f t="shared" si="3"/>
        <v>-</v>
      </c>
      <c r="AR12" s="56" t="str">
        <f t="shared" si="3"/>
        <v>-</v>
      </c>
      <c r="AS12" s="448" t="str">
        <f t="shared" si="3"/>
        <v>-</v>
      </c>
      <c r="AT12" s="165"/>
      <c r="AU12" s="166"/>
      <c r="AV12" s="167"/>
      <c r="AW12" s="168"/>
    </row>
    <row r="13" spans="1:49" ht="27" customHeight="1" thickBot="1" x14ac:dyDescent="0.3">
      <c r="M13" s="404"/>
      <c r="N13" s="173"/>
      <c r="O13" s="173"/>
      <c r="P13" s="180"/>
      <c r="Q13" s="405" t="s">
        <v>795</v>
      </c>
      <c r="R13" s="594"/>
      <c r="S13" s="404"/>
      <c r="T13" s="173"/>
      <c r="U13" s="173"/>
      <c r="V13" s="173"/>
      <c r="W13" s="180"/>
      <c r="X13" s="405" t="s">
        <v>295</v>
      </c>
      <c r="Y13" s="594"/>
      <c r="Z13" s="204"/>
      <c r="AA13" s="173"/>
      <c r="AB13" s="173"/>
      <c r="AC13" s="173"/>
      <c r="AD13" s="173"/>
      <c r="AE13" s="181"/>
      <c r="AF13" s="189" t="s">
        <v>296</v>
      </c>
      <c r="AG13" s="451"/>
      <c r="AH13" s="204"/>
      <c r="AI13" s="173"/>
      <c r="AJ13" s="173"/>
      <c r="AK13" s="173"/>
      <c r="AL13" s="173"/>
      <c r="AM13" s="180"/>
      <c r="AN13" s="187" t="s">
        <v>297</v>
      </c>
      <c r="AO13" s="451"/>
      <c r="AP13" s="172"/>
      <c r="AQ13" s="173"/>
      <c r="AR13" s="174"/>
      <c r="AS13" s="158" t="s">
        <v>294</v>
      </c>
      <c r="AT13" s="449"/>
    </row>
    <row r="14" spans="1:49" ht="48" customHeight="1" x14ac:dyDescent="0.25">
      <c r="E14" s="595" t="s">
        <v>24</v>
      </c>
      <c r="F14" s="589" t="s">
        <v>567</v>
      </c>
      <c r="G14" s="590"/>
      <c r="H14" s="590"/>
      <c r="I14" s="590"/>
      <c r="J14" s="591"/>
      <c r="K14" s="255" t="s">
        <v>558</v>
      </c>
      <c r="L14" s="273" t="s">
        <v>565</v>
      </c>
      <c r="M14" s="256" t="s">
        <v>563</v>
      </c>
      <c r="N14" s="256" t="s">
        <v>564</v>
      </c>
      <c r="O14" s="257" t="s">
        <v>562</v>
      </c>
      <c r="S14" s="256" t="s">
        <v>563</v>
      </c>
      <c r="T14" s="256" t="s">
        <v>779</v>
      </c>
      <c r="U14" s="256" t="s">
        <v>564</v>
      </c>
      <c r="V14" s="257" t="s">
        <v>562</v>
      </c>
      <c r="W14" s="28"/>
      <c r="Y14"/>
      <c r="Z14" s="256" t="s">
        <v>563</v>
      </c>
      <c r="AA14" s="256" t="s">
        <v>780</v>
      </c>
      <c r="AB14" s="256" t="s">
        <v>695</v>
      </c>
      <c r="AC14" s="256" t="s">
        <v>564</v>
      </c>
      <c r="AD14" s="257" t="s">
        <v>562</v>
      </c>
      <c r="AE14" s="28"/>
      <c r="AF14"/>
      <c r="AG14" s="256" t="s">
        <v>563</v>
      </c>
      <c r="AH14" s="256" t="s">
        <v>780</v>
      </c>
      <c r="AI14" s="256" t="s">
        <v>695</v>
      </c>
      <c r="AJ14" s="256" t="s">
        <v>699</v>
      </c>
      <c r="AK14" s="256" t="s">
        <v>564</v>
      </c>
      <c r="AL14" s="257" t="s">
        <v>562</v>
      </c>
      <c r="AM14" s="28"/>
      <c r="AO14"/>
      <c r="AP14"/>
    </row>
    <row r="15" spans="1:49" ht="18.75" customHeight="1" x14ac:dyDescent="0.25">
      <c r="E15" s="596"/>
      <c r="F15" s="607" t="str">
        <f>+G7</f>
        <v>Disminución de Quejas</v>
      </c>
      <c r="G15" s="608"/>
      <c r="H15" s="608"/>
      <c r="I15" s="608"/>
      <c r="J15" s="609"/>
      <c r="K15" s="259" t="str">
        <f>+I7</f>
        <v>&lt;15</v>
      </c>
      <c r="L15" s="616">
        <f>+F7</f>
        <v>0.8</v>
      </c>
      <c r="M15" s="259" t="e">
        <f>+R7</f>
        <v>#DIV/0!</v>
      </c>
      <c r="N15" s="259" t="str">
        <f>IFERROR((M15*100%)/A15,"-")</f>
        <v>-</v>
      </c>
      <c r="O15" s="560" t="str">
        <f>IFERROR(+M19,"-")</f>
        <v>-</v>
      </c>
      <c r="S15" s="259" t="e">
        <f>+Y7</f>
        <v>#DIV/0!</v>
      </c>
      <c r="T15" s="259" t="e">
        <f>+M15</f>
        <v>#DIV/0!</v>
      </c>
      <c r="U15" s="259" t="str">
        <f>IFERROR((S15*100%)/K15,"-")</f>
        <v>-</v>
      </c>
      <c r="V15" s="588" t="str">
        <f>IFERROR(+S19,"-")</f>
        <v>-</v>
      </c>
      <c r="W15" s="28"/>
      <c r="Y15"/>
      <c r="Z15" s="259" t="e">
        <f>+AF7</f>
        <v>#DIV/0!</v>
      </c>
      <c r="AA15" s="259" t="e">
        <f>+M15</f>
        <v>#DIV/0!</v>
      </c>
      <c r="AB15" s="259" t="e">
        <f>+S15</f>
        <v>#DIV/0!</v>
      </c>
      <c r="AC15" s="259" t="str">
        <f>IFERROR(IF(AVERAGE(Z15,AA15)&gt;=0.9,1,(AVERAGE(Z15,AA15)*100%)/0.9),"-")</f>
        <v>-</v>
      </c>
      <c r="AD15" s="560" t="str">
        <f>IFERROR(+Z19,"-")</f>
        <v>-</v>
      </c>
      <c r="AE15" s="28"/>
      <c r="AG15" s="259" t="e">
        <f>+AN7</f>
        <v>#DIV/0!</v>
      </c>
      <c r="AH15" s="259" t="e">
        <f>+M15</f>
        <v>#DIV/0!</v>
      </c>
      <c r="AI15" s="259" t="e">
        <f>+S15</f>
        <v>#DIV/0!</v>
      </c>
      <c r="AJ15" s="259" t="e">
        <f>+Z15</f>
        <v>#DIV/0!</v>
      </c>
      <c r="AK15" s="259" t="str">
        <f>IFERROR(IF(AVERAGE(AG15:AJ15)&gt;=0.9,1,(AVERAGE(AG15:AJ15)*100%)/0.9),"-")</f>
        <v>-</v>
      </c>
      <c r="AL15" s="560" t="e">
        <f>+AK19</f>
        <v>#DIV/0!</v>
      </c>
      <c r="AM15" s="28"/>
    </row>
    <row r="16" spans="1:49" ht="17.25" customHeight="1" x14ac:dyDescent="0.25">
      <c r="E16" s="596"/>
      <c r="F16" s="607" t="str">
        <f>+G8</f>
        <v>% Satisfacción con el servicio de la HUSRT (Calidad atención)</v>
      </c>
      <c r="G16" s="608"/>
      <c r="H16" s="608"/>
      <c r="I16" s="608"/>
      <c r="J16" s="609"/>
      <c r="K16" s="259">
        <f>+I8</f>
        <v>0.8</v>
      </c>
      <c r="L16" s="617"/>
      <c r="M16" s="259" t="e">
        <f>+R8</f>
        <v>#DIV/0!</v>
      </c>
      <c r="N16" s="259" t="str">
        <f>IFERROR((M16*100%)/A16,"-")</f>
        <v>-</v>
      </c>
      <c r="O16" s="561"/>
      <c r="S16" s="259" t="e">
        <f>+Y8</f>
        <v>#DIV/0!</v>
      </c>
      <c r="T16" s="259" t="e">
        <f>+M16</f>
        <v>#DIV/0!</v>
      </c>
      <c r="U16" s="259" t="str">
        <f>IFERROR((S16*100%)/K16,"-")</f>
        <v>-</v>
      </c>
      <c r="V16" s="588"/>
      <c r="W16" s="28"/>
      <c r="Y16"/>
      <c r="Z16" s="259" t="e">
        <f>+AF8</f>
        <v>#DIV/0!</v>
      </c>
      <c r="AA16" s="259" t="e">
        <f>+M16</f>
        <v>#DIV/0!</v>
      </c>
      <c r="AB16" s="259" t="e">
        <f>+S16</f>
        <v>#DIV/0!</v>
      </c>
      <c r="AC16" s="259" t="str">
        <f>IFERROR(IF(AVERAGE(Z16,AA16)&gt;=0.9,1,(AVERAGE(Z16,AA16)*100%)/0.9),"-")</f>
        <v>-</v>
      </c>
      <c r="AD16" s="561"/>
      <c r="AE16" s="28"/>
      <c r="AG16" s="259" t="e">
        <f>+AN8</f>
        <v>#DIV/0!</v>
      </c>
      <c r="AH16" s="259" t="e">
        <f>+M16</f>
        <v>#DIV/0!</v>
      </c>
      <c r="AI16" s="259" t="e">
        <f>+S16</f>
        <v>#DIV/0!</v>
      </c>
      <c r="AJ16" s="259" t="e">
        <f>+Z16</f>
        <v>#DIV/0!</v>
      </c>
      <c r="AK16" s="259" t="str">
        <f>IFERROR(IF(AVERAGE(AG16:AJ16)&gt;=0.9,1,(AVERAGE(AG16:AJ16)*100%)/0.9),"-")</f>
        <v>-</v>
      </c>
      <c r="AL16" s="561"/>
      <c r="AM16" s="28"/>
    </row>
    <row r="17" spans="5:39" x14ac:dyDescent="0.25">
      <c r="E17" s="596"/>
      <c r="F17" s="607" t="str">
        <f>+G9</f>
        <v xml:space="preserve">Cumplimiento del Programa de Humanización </v>
      </c>
      <c r="G17" s="608"/>
      <c r="H17" s="608"/>
      <c r="I17" s="608"/>
      <c r="J17" s="609"/>
      <c r="K17" s="259">
        <f>+I9</f>
        <v>1</v>
      </c>
      <c r="L17" s="617"/>
      <c r="M17" s="259" t="e">
        <f>+R9</f>
        <v>#DIV/0!</v>
      </c>
      <c r="N17" s="259" t="str">
        <f>IFERROR((M17*100%)/A17,"-")</f>
        <v>-</v>
      </c>
      <c r="O17" s="561"/>
      <c r="S17" s="259" t="e">
        <f>+Y9</f>
        <v>#DIV/0!</v>
      </c>
      <c r="T17" s="259" t="e">
        <f>+M17</f>
        <v>#DIV/0!</v>
      </c>
      <c r="U17" s="259" t="str">
        <f>IFERROR((S17*100%)/K17,"-")</f>
        <v>-</v>
      </c>
      <c r="V17" s="588"/>
      <c r="W17" s="28"/>
      <c r="Y17"/>
      <c r="Z17" s="259" t="e">
        <f>+AF9</f>
        <v>#DIV/0!</v>
      </c>
      <c r="AA17" s="259" t="e">
        <f>+M17</f>
        <v>#DIV/0!</v>
      </c>
      <c r="AB17" s="259" t="e">
        <f>+S17</f>
        <v>#DIV/0!</v>
      </c>
      <c r="AC17" s="259" t="str">
        <f>IFERROR(IF(AVERAGE(Z17,AA17)&gt;=0.6,1,(AVERAGE(Z17,AA17)*100%)/0.6),"-")</f>
        <v>-</v>
      </c>
      <c r="AD17" s="561"/>
      <c r="AE17" s="28"/>
      <c r="AG17" s="259" t="e">
        <f>+AN9</f>
        <v>#DIV/0!</v>
      </c>
      <c r="AH17" s="259" t="e">
        <f>+M17</f>
        <v>#DIV/0!</v>
      </c>
      <c r="AI17" s="259" t="e">
        <f>+S17</f>
        <v>#DIV/0!</v>
      </c>
      <c r="AJ17" s="259" t="e">
        <f>+Z17</f>
        <v>#DIV/0!</v>
      </c>
      <c r="AK17" s="259" t="str">
        <f>IFERROR(IF(AVERAGE(AG17:AJ17)&gt;=0.6,1,(AVERAGE(AG17:AJ17)*100%)/0.6),"-")</f>
        <v>-</v>
      </c>
      <c r="AL17" s="561"/>
      <c r="AM17" s="28"/>
    </row>
    <row r="18" spans="5:39" x14ac:dyDescent="0.25">
      <c r="E18" s="597"/>
      <c r="F18" s="607" t="str">
        <f>+G10</f>
        <v>% Usuarios que recomiendan el HUSRT</v>
      </c>
      <c r="G18" s="608"/>
      <c r="H18" s="608"/>
      <c r="I18" s="608"/>
      <c r="J18" s="609"/>
      <c r="K18" s="259">
        <f>+I10</f>
        <v>0.8</v>
      </c>
      <c r="L18" s="618"/>
      <c r="M18" s="259" t="e">
        <f>+R10</f>
        <v>#DIV/0!</v>
      </c>
      <c r="N18" s="259" t="str">
        <f>IFERROR((M18*100%)/A18,"-")</f>
        <v>-</v>
      </c>
      <c r="O18" s="562"/>
      <c r="S18" s="259" t="e">
        <f>+Y10</f>
        <v>#DIV/0!</v>
      </c>
      <c r="T18" s="259" t="e">
        <f>+M18</f>
        <v>#DIV/0!</v>
      </c>
      <c r="U18" s="259" t="str">
        <f>IFERROR((S18*100%)/K18,"-")</f>
        <v>-</v>
      </c>
      <c r="V18" s="588"/>
      <c r="W18" s="28"/>
      <c r="Y18"/>
      <c r="Z18" s="259" t="e">
        <f>+AF10</f>
        <v>#DIV/0!</v>
      </c>
      <c r="AA18" s="259" t="e">
        <f>+M18</f>
        <v>#DIV/0!</v>
      </c>
      <c r="AB18" s="259" t="e">
        <f>+S18</f>
        <v>#DIV/0!</v>
      </c>
      <c r="AC18" s="259" t="str">
        <f>IFERROR(IF(AVERAGE(Z18,AA18)&gt;=0.6,1,(AVERAGE(Z18,AA18)*100%)/0.6),"-")</f>
        <v>-</v>
      </c>
      <c r="AD18" s="561"/>
      <c r="AE18" s="28"/>
      <c r="AG18" s="259" t="e">
        <f>+AN10</f>
        <v>#DIV/0!</v>
      </c>
      <c r="AH18" s="259" t="e">
        <f>+M18</f>
        <v>#DIV/0!</v>
      </c>
      <c r="AI18" s="259" t="e">
        <f>+S18</f>
        <v>#DIV/0!</v>
      </c>
      <c r="AJ18" s="259" t="e">
        <f>+Z18</f>
        <v>#DIV/0!</v>
      </c>
      <c r="AK18" s="259" t="str">
        <f>IFERROR(IF(AVERAGE(AG18:AJ18)&gt;=0.6,1,(AVERAGE(AG18:AJ18)*100%)/0.6),"-")</f>
        <v>-</v>
      </c>
      <c r="AL18" s="562"/>
      <c r="AM18" s="28"/>
    </row>
    <row r="19" spans="5:39" x14ac:dyDescent="0.25">
      <c r="F19" s="28"/>
      <c r="K19" s="54"/>
      <c r="L19" s="36"/>
      <c r="M19" s="258" t="e">
        <f>+AVERAGE(M15:M18)</f>
        <v>#DIV/0!</v>
      </c>
      <c r="N19" s="252"/>
      <c r="S19" s="258" t="e">
        <f>+AVERAGE(S15:S18)</f>
        <v>#DIV/0!</v>
      </c>
      <c r="T19" s="373"/>
      <c r="U19" s="252"/>
      <c r="W19" s="28"/>
      <c r="Y19"/>
      <c r="Z19" s="258" t="e">
        <f>+AVERAGE(Z15:Z18)</f>
        <v>#DIV/0!</v>
      </c>
      <c r="AA19" s="373"/>
      <c r="AB19" s="373"/>
      <c r="AC19" s="252"/>
      <c r="AD19" s="562"/>
      <c r="AE19" s="28"/>
      <c r="AG19" s="258" t="e">
        <f>+AVERAGE(AG15:AG18)</f>
        <v>#DIV/0!</v>
      </c>
      <c r="AH19" s="373"/>
      <c r="AI19" s="373"/>
      <c r="AJ19" s="252"/>
      <c r="AK19" s="392" t="e">
        <f>+AVERAGE(AK15:AK18)</f>
        <v>#DIV/0!</v>
      </c>
      <c r="AL19" s="28"/>
      <c r="AM19" s="28"/>
    </row>
    <row r="20" spans="5:39" x14ac:dyDescent="0.25">
      <c r="AD20" s="28"/>
      <c r="AE20" s="28"/>
      <c r="AF20"/>
      <c r="AG20"/>
      <c r="AL20" s="28"/>
      <c r="AM20" s="28"/>
    </row>
    <row r="21" spans="5:39" x14ac:dyDescent="0.25">
      <c r="AG21" s="28"/>
    </row>
  </sheetData>
  <mergeCells count="57">
    <mergeCell ref="F18:J18"/>
    <mergeCell ref="AD15:AD19"/>
    <mergeCell ref="L15:L18"/>
    <mergeCell ref="D7:D11"/>
    <mergeCell ref="Y11:Y13"/>
    <mergeCell ref="B7:B11"/>
    <mergeCell ref="V15:V18"/>
    <mergeCell ref="F14:J14"/>
    <mergeCell ref="R11:R13"/>
    <mergeCell ref="O15:O18"/>
    <mergeCell ref="E14:E18"/>
    <mergeCell ref="E7:E11"/>
    <mergeCell ref="L7:L11"/>
    <mergeCell ref="A12:K12"/>
    <mergeCell ref="G11:K11"/>
    <mergeCell ref="F15:J15"/>
    <mergeCell ref="F16:J16"/>
    <mergeCell ref="F7:F11"/>
    <mergeCell ref="A7:A11"/>
    <mergeCell ref="C7:C11"/>
    <mergeCell ref="F17:J17"/>
    <mergeCell ref="F5:F6"/>
    <mergeCell ref="A5:A6"/>
    <mergeCell ref="B5:B6"/>
    <mergeCell ref="C5:C6"/>
    <mergeCell ref="D5:D6"/>
    <mergeCell ref="E5:E6"/>
    <mergeCell ref="AU3:AW3"/>
    <mergeCell ref="Y5:Y6"/>
    <mergeCell ref="I5:I6"/>
    <mergeCell ref="J5:J6"/>
    <mergeCell ref="W5:W6"/>
    <mergeCell ref="AN5:AN6"/>
    <mergeCell ref="AE5:AE6"/>
    <mergeCell ref="AL5:AL6"/>
    <mergeCell ref="AM5:AM6"/>
    <mergeCell ref="P5:P6"/>
    <mergeCell ref="K5:K6"/>
    <mergeCell ref="Q5:Q6"/>
    <mergeCell ref="R5:R6"/>
    <mergeCell ref="L5:L6"/>
    <mergeCell ref="AL15:AL18"/>
    <mergeCell ref="AF5:AF6"/>
    <mergeCell ref="AO5:AS5"/>
    <mergeCell ref="C1:AT1"/>
    <mergeCell ref="C2:AT3"/>
    <mergeCell ref="AT5:AW5"/>
    <mergeCell ref="A4:D4"/>
    <mergeCell ref="X5:X6"/>
    <mergeCell ref="AD5:AD6"/>
    <mergeCell ref="G5:G6"/>
    <mergeCell ref="H5:H6"/>
    <mergeCell ref="A1:B1"/>
    <mergeCell ref="A2:B3"/>
    <mergeCell ref="S4:V4"/>
    <mergeCell ref="M4:O4"/>
    <mergeCell ref="AU1:AW2"/>
  </mergeCells>
  <conditionalFormatting sqref="AO7:AS11 AS12">
    <cfRule type="cellIs" dxfId="68" priority="13" operator="lessThan">
      <formula>0.6</formula>
    </cfRule>
    <cfRule type="cellIs" dxfId="67" priority="14" operator="between">
      <formula>60%</formula>
      <formula>79%</formula>
    </cfRule>
    <cfRule type="cellIs" dxfId="66" priority="15" operator="between">
      <formula>80%</formula>
      <formula>100%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BI20"/>
  <sheetViews>
    <sheetView zoomScale="70" zoomScaleNormal="70" workbookViewId="0">
      <selection activeCell="Q7" sqref="Q7"/>
    </sheetView>
  </sheetViews>
  <sheetFormatPr baseColWidth="10" defaultRowHeight="12.75" x14ac:dyDescent="0.2"/>
  <cols>
    <col min="1" max="1" width="21.42578125" style="28" customWidth="1"/>
    <col min="2" max="2" width="29.140625" style="28" customWidth="1"/>
    <col min="3" max="3" width="38.7109375" style="28" customWidth="1"/>
    <col min="4" max="4" width="31" style="28" customWidth="1"/>
    <col min="5" max="5" width="20.7109375" style="28" customWidth="1"/>
    <col min="6" max="6" width="14.42578125" style="36" customWidth="1"/>
    <col min="7" max="7" width="16.85546875" style="28" customWidth="1"/>
    <col min="8" max="8" width="25.28515625" style="28" customWidth="1"/>
    <col min="9" max="11" width="16.5703125" style="28" customWidth="1"/>
    <col min="12" max="12" width="19.42578125" style="28" customWidth="1"/>
    <col min="13" max="13" width="19.42578125" style="54" customWidth="1"/>
    <col min="14" max="14" width="19.42578125" style="28" customWidth="1"/>
    <col min="15" max="15" width="17.85546875" style="28" customWidth="1"/>
    <col min="16" max="16" width="18.140625" style="28" customWidth="1"/>
    <col min="17" max="19" width="20.42578125" style="28" customWidth="1"/>
    <col min="20" max="20" width="27.140625" style="28" customWidth="1"/>
    <col min="21" max="21" width="20.42578125" style="28" customWidth="1"/>
    <col min="22" max="22" width="22.140625" style="28" customWidth="1"/>
    <col min="23" max="23" width="19.42578125" style="54" hidden="1" customWidth="1"/>
    <col min="24" max="24" width="19.42578125" style="28" hidden="1" customWidth="1"/>
    <col min="25" max="25" width="17.85546875" style="28" hidden="1" customWidth="1"/>
    <col min="26" max="26" width="18.140625" style="28" hidden="1" customWidth="1"/>
    <col min="27" max="29" width="20.42578125" style="28" hidden="1" customWidth="1"/>
    <col min="30" max="30" width="27.140625" style="28" hidden="1" customWidth="1"/>
    <col min="31" max="31" width="20.42578125" style="28" hidden="1" customWidth="1"/>
    <col min="32" max="32" width="22.140625" style="28" hidden="1" customWidth="1"/>
    <col min="33" max="33" width="19.42578125" style="54" hidden="1" customWidth="1"/>
    <col min="34" max="34" width="19.42578125" style="28" hidden="1" customWidth="1"/>
    <col min="35" max="35" width="20.140625" style="28" hidden="1" customWidth="1"/>
    <col min="36" max="38" width="18.140625" style="28" hidden="1" customWidth="1"/>
    <col min="39" max="39" width="20.42578125" style="28" hidden="1" customWidth="1"/>
    <col min="40" max="40" width="27.140625" style="28" hidden="1" customWidth="1"/>
    <col min="41" max="41" width="20.42578125" style="28" hidden="1" customWidth="1"/>
    <col min="42" max="42" width="22.140625" style="28" hidden="1" customWidth="1"/>
    <col min="43" max="43" width="19.42578125" style="54" hidden="1" customWidth="1"/>
    <col min="44" max="44" width="19.42578125" style="28" hidden="1" customWidth="1"/>
    <col min="45" max="45" width="17.85546875" style="28" hidden="1" customWidth="1"/>
    <col min="46" max="48" width="18.140625" style="28" hidden="1" customWidth="1"/>
    <col min="49" max="49" width="20.42578125" style="28" hidden="1" customWidth="1"/>
    <col min="50" max="50" width="27.140625" style="28" hidden="1" customWidth="1"/>
    <col min="51" max="51" width="20.42578125" style="28" hidden="1" customWidth="1"/>
    <col min="52" max="52" width="22.140625" style="28" hidden="1" customWidth="1"/>
    <col min="53" max="53" width="17.7109375" style="28" customWidth="1"/>
    <col min="54" max="54" width="17.85546875" style="28" customWidth="1"/>
    <col min="55" max="55" width="19.140625" style="28" customWidth="1"/>
    <col min="56" max="56" width="18.7109375" style="28" customWidth="1"/>
    <col min="57" max="57" width="21" style="28" customWidth="1"/>
    <col min="58" max="58" width="26.5703125" style="28" customWidth="1"/>
    <col min="59" max="59" width="24.5703125" style="28" customWidth="1"/>
    <col min="60" max="60" width="28.140625" style="28" customWidth="1"/>
    <col min="61" max="61" width="27.85546875" style="28" customWidth="1"/>
    <col min="62" max="62" width="11.42578125" style="28"/>
    <col min="63" max="63" width="11.42578125" style="28" customWidth="1"/>
    <col min="64" max="16384" width="11.42578125" style="28"/>
  </cols>
  <sheetData>
    <row r="1" spans="1:61" ht="75.75" customHeight="1" x14ac:dyDescent="0.2">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77"/>
      <c r="BH1" s="577"/>
      <c r="BI1" s="577"/>
    </row>
    <row r="2" spans="1:61" ht="41.25" customHeight="1" x14ac:dyDescent="0.2">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77"/>
      <c r="BH2" s="577"/>
      <c r="BI2" s="577"/>
    </row>
    <row r="3" spans="1:61" ht="41.25" customHeight="1" x14ac:dyDescent="0.2">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78" t="s">
        <v>718</v>
      </c>
      <c r="BH3" s="578"/>
      <c r="BI3" s="578"/>
    </row>
    <row r="4" spans="1:61" ht="32.25" customHeight="1" thickBot="1" x14ac:dyDescent="0.25">
      <c r="A4" s="572" t="s">
        <v>193</v>
      </c>
      <c r="B4" s="572"/>
      <c r="C4" s="572"/>
      <c r="D4" s="572"/>
    </row>
    <row r="5" spans="1:61" ht="43.5" customHeight="1" x14ac:dyDescent="0.2">
      <c r="A5" s="583" t="s">
        <v>1</v>
      </c>
      <c r="B5" s="575" t="s">
        <v>3</v>
      </c>
      <c r="C5" s="575" t="s">
        <v>194</v>
      </c>
      <c r="D5" s="575" t="s">
        <v>195</v>
      </c>
      <c r="E5" s="575" t="s">
        <v>196</v>
      </c>
      <c r="F5" s="581" t="s">
        <v>781</v>
      </c>
      <c r="G5" s="575" t="s">
        <v>228</v>
      </c>
      <c r="H5" s="575" t="s">
        <v>227</v>
      </c>
      <c r="I5" s="575" t="s">
        <v>8</v>
      </c>
      <c r="J5" s="575" t="s">
        <v>481</v>
      </c>
      <c r="K5" s="575" t="s">
        <v>501</v>
      </c>
      <c r="L5" s="579" t="s">
        <v>9</v>
      </c>
      <c r="M5" s="177" t="s">
        <v>508</v>
      </c>
      <c r="N5" s="194" t="s">
        <v>509</v>
      </c>
      <c r="O5" s="194" t="s">
        <v>232</v>
      </c>
      <c r="P5" s="194" t="s">
        <v>224</v>
      </c>
      <c r="Q5" s="194" t="s">
        <v>225</v>
      </c>
      <c r="R5" s="194" t="s">
        <v>289</v>
      </c>
      <c r="S5" s="194" t="s">
        <v>543</v>
      </c>
      <c r="T5" s="573" t="s">
        <v>414</v>
      </c>
      <c r="U5" s="573" t="s">
        <v>416</v>
      </c>
      <c r="V5" s="563" t="s">
        <v>776</v>
      </c>
      <c r="W5" s="177" t="s">
        <v>508</v>
      </c>
      <c r="X5" s="194" t="s">
        <v>509</v>
      </c>
      <c r="Y5" s="194" t="s">
        <v>232</v>
      </c>
      <c r="Z5" s="194" t="s">
        <v>224</v>
      </c>
      <c r="AA5" s="194" t="s">
        <v>225</v>
      </c>
      <c r="AB5" s="194" t="s">
        <v>289</v>
      </c>
      <c r="AC5" s="194" t="s">
        <v>543</v>
      </c>
      <c r="AD5" s="573" t="s">
        <v>414</v>
      </c>
      <c r="AE5" s="573" t="s">
        <v>416</v>
      </c>
      <c r="AF5" s="563" t="s">
        <v>474</v>
      </c>
      <c r="AG5" s="177" t="s">
        <v>247</v>
      </c>
      <c r="AH5" s="194" t="s">
        <v>245</v>
      </c>
      <c r="AI5" s="194" t="s">
        <v>232</v>
      </c>
      <c r="AJ5" s="194" t="s">
        <v>224</v>
      </c>
      <c r="AK5" s="194" t="s">
        <v>225</v>
      </c>
      <c r="AL5" s="194" t="s">
        <v>289</v>
      </c>
      <c r="AM5" s="194" t="s">
        <v>300</v>
      </c>
      <c r="AN5" s="573" t="s">
        <v>414</v>
      </c>
      <c r="AO5" s="573" t="s">
        <v>416</v>
      </c>
      <c r="AP5" s="563" t="s">
        <v>477</v>
      </c>
      <c r="AQ5" s="177" t="s">
        <v>247</v>
      </c>
      <c r="AR5" s="194" t="s">
        <v>245</v>
      </c>
      <c r="AS5" s="194" t="s">
        <v>232</v>
      </c>
      <c r="AT5" s="194" t="s">
        <v>224</v>
      </c>
      <c r="AU5" s="194" t="s">
        <v>225</v>
      </c>
      <c r="AV5" s="194" t="s">
        <v>289</v>
      </c>
      <c r="AW5" s="194" t="s">
        <v>300</v>
      </c>
      <c r="AX5" s="573" t="s">
        <v>414</v>
      </c>
      <c r="AY5" s="573" t="s">
        <v>416</v>
      </c>
      <c r="AZ5" s="563" t="s">
        <v>784</v>
      </c>
      <c r="BA5" s="626" t="s">
        <v>11</v>
      </c>
      <c r="BB5" s="627"/>
      <c r="BC5" s="627"/>
      <c r="BD5" s="627"/>
      <c r="BE5" s="628"/>
      <c r="BF5" s="569" t="s">
        <v>539</v>
      </c>
      <c r="BG5" s="570"/>
      <c r="BH5" s="570"/>
      <c r="BI5" s="571"/>
    </row>
    <row r="6" spans="1:61" ht="42.75" customHeight="1" x14ac:dyDescent="0.2">
      <c r="A6" s="584"/>
      <c r="B6" s="514"/>
      <c r="C6" s="514"/>
      <c r="D6" s="514"/>
      <c r="E6" s="514"/>
      <c r="F6" s="582"/>
      <c r="G6" s="514"/>
      <c r="H6" s="514"/>
      <c r="I6" s="514"/>
      <c r="J6" s="514"/>
      <c r="K6" s="514"/>
      <c r="L6" s="580"/>
      <c r="M6" s="457" t="s">
        <v>775</v>
      </c>
      <c r="N6" s="4" t="s">
        <v>775</v>
      </c>
      <c r="O6" s="4" t="s">
        <v>775</v>
      </c>
      <c r="P6" s="4" t="s">
        <v>775</v>
      </c>
      <c r="Q6" s="4" t="s">
        <v>775</v>
      </c>
      <c r="R6" s="4" t="s">
        <v>775</v>
      </c>
      <c r="S6" s="220" t="s">
        <v>775</v>
      </c>
      <c r="T6" s="574"/>
      <c r="U6" s="574"/>
      <c r="V6" s="564"/>
      <c r="W6" s="141" t="s">
        <v>298</v>
      </c>
      <c r="X6" s="4" t="s">
        <v>298</v>
      </c>
      <c r="Y6" s="4" t="s">
        <v>298</v>
      </c>
      <c r="Z6" s="4" t="s">
        <v>298</v>
      </c>
      <c r="AA6" s="4" t="s">
        <v>298</v>
      </c>
      <c r="AB6" s="4" t="s">
        <v>298</v>
      </c>
      <c r="AC6" s="4" t="s">
        <v>298</v>
      </c>
      <c r="AD6" s="574"/>
      <c r="AE6" s="574"/>
      <c r="AF6" s="564"/>
      <c r="AG6" s="141" t="s">
        <v>287</v>
      </c>
      <c r="AH6" s="4" t="s">
        <v>287</v>
      </c>
      <c r="AI6" s="4" t="s">
        <v>287</v>
      </c>
      <c r="AJ6" s="4" t="s">
        <v>287</v>
      </c>
      <c r="AK6" s="4" t="s">
        <v>287</v>
      </c>
      <c r="AL6" s="4" t="s">
        <v>287</v>
      </c>
      <c r="AM6" s="4" t="s">
        <v>287</v>
      </c>
      <c r="AN6" s="574"/>
      <c r="AO6" s="574"/>
      <c r="AP6" s="564"/>
      <c r="AQ6" s="141" t="s">
        <v>288</v>
      </c>
      <c r="AR6" s="4" t="s">
        <v>288</v>
      </c>
      <c r="AS6" s="4" t="s">
        <v>288</v>
      </c>
      <c r="AT6" s="4" t="s">
        <v>288</v>
      </c>
      <c r="AU6" s="4" t="s">
        <v>288</v>
      </c>
      <c r="AV6" s="4" t="s">
        <v>288</v>
      </c>
      <c r="AW6" s="4" t="s">
        <v>288</v>
      </c>
      <c r="AX6" s="574"/>
      <c r="AY6" s="574"/>
      <c r="AZ6" s="564"/>
      <c r="BA6" s="154" t="s">
        <v>198</v>
      </c>
      <c r="BB6" s="5" t="s">
        <v>199</v>
      </c>
      <c r="BC6" s="5" t="s">
        <v>200</v>
      </c>
      <c r="BD6" s="5" t="s">
        <v>201</v>
      </c>
      <c r="BE6" s="155" t="s">
        <v>20</v>
      </c>
      <c r="BF6" s="159" t="s">
        <v>202</v>
      </c>
      <c r="BG6" s="31" t="s">
        <v>203</v>
      </c>
      <c r="BH6" s="31" t="s">
        <v>204</v>
      </c>
      <c r="BI6" s="160" t="s">
        <v>205</v>
      </c>
    </row>
    <row r="7" spans="1:61" s="35" customFormat="1" ht="120.75" customHeight="1" x14ac:dyDescent="0.25">
      <c r="A7" s="249" t="s">
        <v>34</v>
      </c>
      <c r="B7" s="248" t="s">
        <v>35</v>
      </c>
      <c r="C7" s="248" t="s">
        <v>36</v>
      </c>
      <c r="D7" s="248" t="s">
        <v>37</v>
      </c>
      <c r="E7" s="248" t="s">
        <v>676</v>
      </c>
      <c r="F7" s="251">
        <v>0.7</v>
      </c>
      <c r="G7" s="6" t="s">
        <v>560</v>
      </c>
      <c r="H7" s="60" t="s">
        <v>634</v>
      </c>
      <c r="I7" s="339">
        <v>0.7</v>
      </c>
      <c r="J7" s="6" t="s">
        <v>482</v>
      </c>
      <c r="K7" s="6" t="s">
        <v>538</v>
      </c>
      <c r="L7" s="250" t="s">
        <v>778</v>
      </c>
      <c r="M7" s="253"/>
      <c r="N7" s="496"/>
      <c r="O7" s="53"/>
      <c r="P7" s="53"/>
      <c r="Q7" s="53"/>
      <c r="R7" s="496"/>
      <c r="S7" s="496"/>
      <c r="T7" s="55"/>
      <c r="U7" s="55"/>
      <c r="V7" s="143" t="e">
        <f>+AVERAGE(M7:S7)</f>
        <v>#DIV/0!</v>
      </c>
      <c r="W7" s="253"/>
      <c r="X7" s="53"/>
      <c r="Y7" s="53"/>
      <c r="Z7" s="53"/>
      <c r="AA7" s="53"/>
      <c r="AB7" s="53"/>
      <c r="AC7" s="53"/>
      <c r="AD7" s="55"/>
      <c r="AE7" s="55"/>
      <c r="AF7" s="143" t="e">
        <f>+AVERAGE(W7:AC7)</f>
        <v>#DIV/0!</v>
      </c>
      <c r="AG7" s="142"/>
      <c r="AH7" s="55"/>
      <c r="AI7" s="55"/>
      <c r="AJ7" s="55"/>
      <c r="AK7" s="55"/>
      <c r="AL7" s="55"/>
      <c r="AM7" s="55"/>
      <c r="AN7" s="55"/>
      <c r="AO7" s="55"/>
      <c r="AP7" s="143" t="e">
        <f>AVERAGE(AG7:AM7)</f>
        <v>#DIV/0!</v>
      </c>
      <c r="AQ7" s="142"/>
      <c r="AR7" s="55"/>
      <c r="AS7" s="55"/>
      <c r="AT7" s="55"/>
      <c r="AU7" s="55"/>
      <c r="AV7" s="55"/>
      <c r="AW7" s="55"/>
      <c r="AX7" s="55"/>
      <c r="AY7" s="55"/>
      <c r="AZ7" s="143" t="e">
        <f>+AVERAGE(AQ7:AW7)</f>
        <v>#DIV/0!</v>
      </c>
      <c r="BA7" s="25" t="e">
        <f>(IF(V7&gt;=0.7,1,(V7*100%)/0.7))</f>
        <v>#DIV/0!</v>
      </c>
      <c r="BB7" s="25" t="e">
        <f>(IF(AF7&gt;=0.7,1,(AF7*100%)/0.7))</f>
        <v>#DIV/0!</v>
      </c>
      <c r="BC7" s="25" t="e" cm="1">
        <f t="array" ref="BC7">(IF(AP7&gt;=0.7,1,(AH*100%)/0.7))</f>
        <v>#DIV/0!</v>
      </c>
      <c r="BD7" s="25" t="e" cm="1">
        <f t="array" ref="BD7">(IF(AZ7&gt;=0.7,1,(As*100%)/0.7))</f>
        <v>#DIV/0!</v>
      </c>
      <c r="BE7" s="157" t="str">
        <f>IFERROR(AVERAGE(BA7:BD7),"-")</f>
        <v>-</v>
      </c>
      <c r="BF7" s="161"/>
      <c r="BG7" s="33"/>
      <c r="BH7" s="34"/>
      <c r="BI7" s="162"/>
    </row>
    <row r="8" spans="1:61" ht="45.6" customHeight="1" thickBot="1" x14ac:dyDescent="0.25">
      <c r="A8" s="601" t="s">
        <v>293</v>
      </c>
      <c r="B8" s="602"/>
      <c r="C8" s="602"/>
      <c r="D8" s="602"/>
      <c r="E8" s="602"/>
      <c r="F8" s="602"/>
      <c r="G8" s="602"/>
      <c r="H8" s="602"/>
      <c r="I8" s="602"/>
      <c r="J8" s="602"/>
      <c r="K8" s="603"/>
      <c r="L8" s="429" t="s">
        <v>760</v>
      </c>
      <c r="M8" s="312" t="str">
        <f t="shared" ref="M8:S8" si="0">IFERROR(AVERAGE(M7:M7),"-")</f>
        <v>-</v>
      </c>
      <c r="N8" s="320" t="str">
        <f t="shared" si="0"/>
        <v>-</v>
      </c>
      <c r="O8" s="320" t="str">
        <f t="shared" si="0"/>
        <v>-</v>
      </c>
      <c r="P8" s="320" t="str">
        <f t="shared" si="0"/>
        <v>-</v>
      </c>
      <c r="Q8" s="320" t="str">
        <f t="shared" si="0"/>
        <v>-</v>
      </c>
      <c r="R8" s="320" t="str">
        <f t="shared" si="0"/>
        <v>-</v>
      </c>
      <c r="S8" s="320" t="str">
        <f t="shared" si="0"/>
        <v>-</v>
      </c>
      <c r="T8" s="147"/>
      <c r="U8" s="118"/>
      <c r="V8" s="619" t="str">
        <f t="shared" ref="V8" si="1">IFERROR(AVERAGE(V7:V7),"-")</f>
        <v>-</v>
      </c>
      <c r="W8" s="312" t="str">
        <f t="shared" ref="W8:AC8" si="2">IFERROR(AVERAGE(W7:W7),"-")</f>
        <v>-</v>
      </c>
      <c r="X8" s="320" t="str">
        <f t="shared" si="2"/>
        <v>-</v>
      </c>
      <c r="Y8" s="320" t="str">
        <f t="shared" si="2"/>
        <v>-</v>
      </c>
      <c r="Z8" s="320" t="str">
        <f t="shared" si="2"/>
        <v>-</v>
      </c>
      <c r="AA8" s="320" t="str">
        <f t="shared" si="2"/>
        <v>-</v>
      </c>
      <c r="AB8" s="320" t="str">
        <f t="shared" si="2"/>
        <v>-</v>
      </c>
      <c r="AC8" s="320" t="str">
        <f t="shared" si="2"/>
        <v>-</v>
      </c>
      <c r="AD8" s="147"/>
      <c r="AE8" s="118"/>
      <c r="AF8" s="619" t="str">
        <f t="shared" ref="AF8:AM8" si="3">IFERROR(AVERAGE(AF7:AF7),"-")</f>
        <v>-</v>
      </c>
      <c r="AG8" s="170" t="str">
        <f t="shared" si="3"/>
        <v>-</v>
      </c>
      <c r="AH8" s="171" t="str">
        <f t="shared" si="3"/>
        <v>-</v>
      </c>
      <c r="AI8" s="171" t="str">
        <f t="shared" si="3"/>
        <v>-</v>
      </c>
      <c r="AJ8" s="171" t="str">
        <f t="shared" si="3"/>
        <v>-</v>
      </c>
      <c r="AK8" s="171" t="str">
        <f t="shared" si="3"/>
        <v>-</v>
      </c>
      <c r="AL8" s="171" t="str">
        <f t="shared" si="3"/>
        <v>-</v>
      </c>
      <c r="AM8" s="171" t="str">
        <f t="shared" si="3"/>
        <v>-</v>
      </c>
      <c r="AN8" s="147"/>
      <c r="AO8" s="118"/>
      <c r="AP8" s="619" t="str">
        <f t="shared" ref="AP8:AW8" si="4">IFERROR(AVERAGE(AP7:AP7),"-")</f>
        <v>-</v>
      </c>
      <c r="AQ8" s="170" t="str">
        <f t="shared" si="4"/>
        <v>-</v>
      </c>
      <c r="AR8" s="171" t="str">
        <f t="shared" si="4"/>
        <v>-</v>
      </c>
      <c r="AS8" s="171" t="str">
        <f t="shared" si="4"/>
        <v>-</v>
      </c>
      <c r="AT8" s="171" t="str">
        <f t="shared" si="4"/>
        <v>-</v>
      </c>
      <c r="AU8" s="171" t="str">
        <f t="shared" si="4"/>
        <v>-</v>
      </c>
      <c r="AV8" s="171" t="str">
        <f t="shared" si="4"/>
        <v>-</v>
      </c>
      <c r="AW8" s="171" t="str">
        <f t="shared" si="4"/>
        <v>-</v>
      </c>
      <c r="AX8" s="147"/>
      <c r="AY8" s="118"/>
      <c r="AZ8" s="619" t="str">
        <f t="shared" ref="AZ8:BE8" si="5">IFERROR(AVERAGE(AZ7:AZ7),"-")</f>
        <v>-</v>
      </c>
      <c r="BA8" s="170" t="str">
        <f t="shared" si="5"/>
        <v>-</v>
      </c>
      <c r="BB8" s="171" t="str">
        <f t="shared" si="5"/>
        <v>-</v>
      </c>
      <c r="BC8" s="171" t="str">
        <f t="shared" si="5"/>
        <v>-</v>
      </c>
      <c r="BD8" s="56" t="str">
        <f t="shared" si="5"/>
        <v>-</v>
      </c>
      <c r="BE8" s="624" t="str">
        <f t="shared" si="5"/>
        <v>-</v>
      </c>
      <c r="BF8" s="165"/>
      <c r="BG8" s="166"/>
      <c r="BH8" s="167"/>
      <c r="BI8" s="168"/>
    </row>
    <row r="9" spans="1:61" ht="26.25" thickBot="1" x14ac:dyDescent="0.25">
      <c r="M9" s="197"/>
      <c r="N9" s="173"/>
      <c r="O9" s="173"/>
      <c r="P9" s="173"/>
      <c r="Q9" s="173"/>
      <c r="R9" s="173"/>
      <c r="S9" s="173"/>
      <c r="T9" s="174"/>
      <c r="U9" s="187" t="s">
        <v>796</v>
      </c>
      <c r="V9" s="620"/>
      <c r="W9" s="197"/>
      <c r="X9" s="173"/>
      <c r="Y9" s="173"/>
      <c r="Z9" s="173"/>
      <c r="AA9" s="173"/>
      <c r="AB9" s="173"/>
      <c r="AC9" s="173"/>
      <c r="AD9" s="174"/>
      <c r="AE9" s="187" t="s">
        <v>295</v>
      </c>
      <c r="AF9" s="620"/>
      <c r="AG9" s="195"/>
      <c r="AH9" s="173"/>
      <c r="AI9" s="173"/>
      <c r="AJ9" s="173"/>
      <c r="AK9" s="173"/>
      <c r="AL9" s="173"/>
      <c r="AM9" s="173"/>
      <c r="AN9" s="173"/>
      <c r="AO9" s="189" t="s">
        <v>296</v>
      </c>
      <c r="AP9" s="620"/>
      <c r="AQ9" s="195"/>
      <c r="AR9" s="173"/>
      <c r="AS9" s="173"/>
      <c r="AT9" s="173"/>
      <c r="AU9" s="173"/>
      <c r="AV9" s="173"/>
      <c r="AW9" s="173"/>
      <c r="AX9" s="174"/>
      <c r="AY9" s="187" t="s">
        <v>297</v>
      </c>
      <c r="AZ9" s="620"/>
      <c r="BA9" s="172"/>
      <c r="BB9" s="173"/>
      <c r="BC9" s="174"/>
      <c r="BD9" s="158" t="s">
        <v>294</v>
      </c>
      <c r="BE9" s="625"/>
    </row>
    <row r="10" spans="1:61" ht="45" x14ac:dyDescent="0.25">
      <c r="H10" s="621" t="s">
        <v>561</v>
      </c>
      <c r="I10" s="621"/>
      <c r="J10" s="621"/>
      <c r="K10" s="255" t="s">
        <v>558</v>
      </c>
      <c r="L10" s="273" t="s">
        <v>559</v>
      </c>
      <c r="M10" s="256" t="s">
        <v>563</v>
      </c>
      <c r="N10" s="257" t="s">
        <v>564</v>
      </c>
      <c r="O10" s="257" t="s">
        <v>562</v>
      </c>
      <c r="V10" s="54"/>
      <c r="W10" s="256" t="s">
        <v>563</v>
      </c>
      <c r="X10" s="257" t="s">
        <v>564</v>
      </c>
      <c r="Y10" s="340" t="s">
        <v>782</v>
      </c>
      <c r="Z10" s="257" t="s">
        <v>562</v>
      </c>
      <c r="AG10" s="256" t="s">
        <v>563</v>
      </c>
      <c r="AH10" s="257" t="s">
        <v>564</v>
      </c>
      <c r="AI10" s="257" t="s">
        <v>562</v>
      </c>
      <c r="AJ10" s="340" t="s">
        <v>782</v>
      </c>
      <c r="AK10" s="340" t="s">
        <v>313</v>
      </c>
      <c r="AP10" s="54"/>
      <c r="AQ10" s="256" t="s">
        <v>563</v>
      </c>
      <c r="AR10" s="340" t="s">
        <v>783</v>
      </c>
      <c r="AS10" s="340" t="s">
        <v>700</v>
      </c>
      <c r="AT10" s="340" t="s">
        <v>296</v>
      </c>
      <c r="AU10" s="257" t="s">
        <v>564</v>
      </c>
      <c r="AV10" s="257" t="s">
        <v>562</v>
      </c>
    </row>
    <row r="11" spans="1:61" ht="15" x14ac:dyDescent="0.25">
      <c r="H11" s="622" t="s">
        <v>38</v>
      </c>
      <c r="I11" s="622"/>
      <c r="J11" s="622"/>
      <c r="K11" s="259">
        <v>0.7</v>
      </c>
      <c r="L11" s="623">
        <f>+I7</f>
        <v>0.7</v>
      </c>
      <c r="M11" s="259">
        <f>+M7</f>
        <v>0</v>
      </c>
      <c r="N11" s="259">
        <f>IFERROR(IF(M11&gt;=0.55,1,(M11*100%)/0.55),"-")</f>
        <v>0</v>
      </c>
      <c r="O11" s="588">
        <f>IFERROR(+M18,"-")</f>
        <v>0</v>
      </c>
      <c r="V11" s="54"/>
      <c r="W11" s="259">
        <f>+W7</f>
        <v>0</v>
      </c>
      <c r="X11" s="259">
        <f t="shared" ref="X11:X17" si="6">IFERROR(IF(W11&gt;=0.55,1,(W11*100%)/0.55),"-")</f>
        <v>0</v>
      </c>
      <c r="Y11" s="259">
        <f t="shared" ref="Y11:Y17" si="7">+M11</f>
        <v>0</v>
      </c>
      <c r="Z11" s="588">
        <f>IFERROR(+W18,"-")</f>
        <v>0</v>
      </c>
      <c r="AG11" s="259">
        <f>+AG7</f>
        <v>0</v>
      </c>
      <c r="AH11" s="259" t="str">
        <f>IFERROR((AG11*100%)/AG11,"-")</f>
        <v>-</v>
      </c>
      <c r="AI11" s="588">
        <f>IFERROR(+AG18,"-")</f>
        <v>0</v>
      </c>
      <c r="AJ11" s="458">
        <f t="shared" ref="AJ11:AJ17" si="8">+M11</f>
        <v>0</v>
      </c>
      <c r="AK11" s="458">
        <f t="shared" ref="AK11:AK17" si="9">+W11</f>
        <v>0</v>
      </c>
      <c r="AP11" s="54"/>
      <c r="AQ11" s="259">
        <f>+AQ7</f>
        <v>0</v>
      </c>
      <c r="AR11" s="447">
        <f t="shared" ref="AR11:AR17" si="10">+M11</f>
        <v>0</v>
      </c>
      <c r="AS11" s="447">
        <f t="shared" ref="AS11:AS17" si="11">+W11</f>
        <v>0</v>
      </c>
      <c r="AT11" s="447">
        <f t="shared" ref="AT11:AT17" si="12">+AG11</f>
        <v>0</v>
      </c>
      <c r="AU11" s="259">
        <f t="shared" ref="AU11:AU17" si="13">IFERROR(IF(AVERAGE(AQ11:AT11)&gt;=0.7,1,(AVERAGE(AQ11:AT11)*100%)/0.7),"-")</f>
        <v>0</v>
      </c>
      <c r="AV11" s="588">
        <f>IFERROR(+AU18,"-")</f>
        <v>0</v>
      </c>
    </row>
    <row r="12" spans="1:61" ht="15" x14ac:dyDescent="0.25">
      <c r="H12" s="622" t="s">
        <v>41</v>
      </c>
      <c r="I12" s="622"/>
      <c r="J12" s="622"/>
      <c r="K12" s="259">
        <v>0.7</v>
      </c>
      <c r="L12" s="623"/>
      <c r="M12" s="259">
        <f>+N7</f>
        <v>0</v>
      </c>
      <c r="N12" s="259">
        <f t="shared" ref="N12:N17" si="14">IFERROR(IF(M12&gt;=0.55,1,(M12*100%)/0.55),"-")</f>
        <v>0</v>
      </c>
      <c r="O12" s="588"/>
      <c r="V12" s="54"/>
      <c r="W12" s="259">
        <f>+X7</f>
        <v>0</v>
      </c>
      <c r="X12" s="259">
        <f t="shared" si="6"/>
        <v>0</v>
      </c>
      <c r="Y12" s="259">
        <f t="shared" si="7"/>
        <v>0</v>
      </c>
      <c r="Z12" s="588"/>
      <c r="AG12" s="259">
        <f>+AH7</f>
        <v>0</v>
      </c>
      <c r="AH12" s="259" t="str">
        <f t="shared" ref="AH12:AH17" si="15">IFERROR((AG12*100%)/AG12,"-")</f>
        <v>-</v>
      </c>
      <c r="AI12" s="588"/>
      <c r="AJ12" s="458">
        <f t="shared" si="8"/>
        <v>0</v>
      </c>
      <c r="AK12" s="458">
        <f t="shared" si="9"/>
        <v>0</v>
      </c>
      <c r="AP12" s="54"/>
      <c r="AQ12" s="259">
        <f>+AR7</f>
        <v>0</v>
      </c>
      <c r="AR12" s="447">
        <f t="shared" si="10"/>
        <v>0</v>
      </c>
      <c r="AS12" s="447">
        <f t="shared" si="11"/>
        <v>0</v>
      </c>
      <c r="AT12" s="447">
        <f t="shared" si="12"/>
        <v>0</v>
      </c>
      <c r="AU12" s="259">
        <f t="shared" si="13"/>
        <v>0</v>
      </c>
      <c r="AV12" s="588"/>
    </row>
    <row r="13" spans="1:61" ht="15" x14ac:dyDescent="0.25">
      <c r="H13" s="622" t="s">
        <v>588</v>
      </c>
      <c r="I13" s="622"/>
      <c r="J13" s="622"/>
      <c r="K13" s="259">
        <v>0.7</v>
      </c>
      <c r="L13" s="623"/>
      <c r="M13" s="259">
        <f>+O7</f>
        <v>0</v>
      </c>
      <c r="N13" s="259">
        <f t="shared" si="14"/>
        <v>0</v>
      </c>
      <c r="O13" s="588"/>
      <c r="V13" s="54"/>
      <c r="W13" s="259">
        <f>+Y7</f>
        <v>0</v>
      </c>
      <c r="X13" s="259">
        <f t="shared" si="6"/>
        <v>0</v>
      </c>
      <c r="Y13" s="259">
        <f t="shared" si="7"/>
        <v>0</v>
      </c>
      <c r="Z13" s="588"/>
      <c r="AG13" s="259">
        <f>+AI7</f>
        <v>0</v>
      </c>
      <c r="AH13" s="259" t="str">
        <f t="shared" si="15"/>
        <v>-</v>
      </c>
      <c r="AI13" s="588"/>
      <c r="AJ13" s="458">
        <f t="shared" si="8"/>
        <v>0</v>
      </c>
      <c r="AK13" s="458">
        <f t="shared" si="9"/>
        <v>0</v>
      </c>
      <c r="AP13" s="54"/>
      <c r="AQ13" s="259">
        <f>+AS7</f>
        <v>0</v>
      </c>
      <c r="AR13" s="447">
        <f t="shared" si="10"/>
        <v>0</v>
      </c>
      <c r="AS13" s="447">
        <f t="shared" si="11"/>
        <v>0</v>
      </c>
      <c r="AT13" s="447">
        <f t="shared" si="12"/>
        <v>0</v>
      </c>
      <c r="AU13" s="259">
        <f t="shared" si="13"/>
        <v>0</v>
      </c>
      <c r="AV13" s="588"/>
    </row>
    <row r="14" spans="1:61" ht="15" x14ac:dyDescent="0.25">
      <c r="H14" s="622" t="s">
        <v>589</v>
      </c>
      <c r="I14" s="622"/>
      <c r="J14" s="622"/>
      <c r="K14" s="259">
        <v>0.7</v>
      </c>
      <c r="L14" s="623"/>
      <c r="M14" s="276">
        <f>+P7</f>
        <v>0</v>
      </c>
      <c r="N14" s="259">
        <f t="shared" si="14"/>
        <v>0</v>
      </c>
      <c r="O14" s="588"/>
      <c r="V14" s="54"/>
      <c r="W14" s="276">
        <f>+Z7</f>
        <v>0</v>
      </c>
      <c r="X14" s="259">
        <f t="shared" si="6"/>
        <v>0</v>
      </c>
      <c r="Y14" s="259">
        <f t="shared" si="7"/>
        <v>0</v>
      </c>
      <c r="Z14" s="588"/>
      <c r="AG14" s="276">
        <f>+AJ7</f>
        <v>0</v>
      </c>
      <c r="AH14" s="259" t="str">
        <f t="shared" si="15"/>
        <v>-</v>
      </c>
      <c r="AI14" s="588"/>
      <c r="AJ14" s="458">
        <f t="shared" si="8"/>
        <v>0</v>
      </c>
      <c r="AK14" s="458">
        <f t="shared" si="9"/>
        <v>0</v>
      </c>
      <c r="AP14" s="54"/>
      <c r="AQ14" s="276">
        <f>+AT7</f>
        <v>0</v>
      </c>
      <c r="AR14" s="447">
        <f t="shared" si="10"/>
        <v>0</v>
      </c>
      <c r="AS14" s="447">
        <f t="shared" si="11"/>
        <v>0</v>
      </c>
      <c r="AT14" s="447">
        <f t="shared" si="12"/>
        <v>0</v>
      </c>
      <c r="AU14" s="259">
        <f t="shared" si="13"/>
        <v>0</v>
      </c>
      <c r="AV14" s="588"/>
    </row>
    <row r="15" spans="1:61" ht="15" x14ac:dyDescent="0.25">
      <c r="H15" s="622" t="s">
        <v>590</v>
      </c>
      <c r="I15" s="622"/>
      <c r="J15" s="622"/>
      <c r="K15" s="259">
        <v>0.7</v>
      </c>
      <c r="L15" s="623"/>
      <c r="M15" s="276">
        <f>+Q7</f>
        <v>0</v>
      </c>
      <c r="N15" s="259">
        <f t="shared" si="14"/>
        <v>0</v>
      </c>
      <c r="O15" s="588"/>
      <c r="V15" s="54"/>
      <c r="W15" s="276">
        <f>+AA7</f>
        <v>0</v>
      </c>
      <c r="X15" s="259">
        <f t="shared" si="6"/>
        <v>0</v>
      </c>
      <c r="Y15" s="259">
        <f t="shared" si="7"/>
        <v>0</v>
      </c>
      <c r="Z15" s="588"/>
      <c r="AG15" s="276">
        <f>+AK7</f>
        <v>0</v>
      </c>
      <c r="AH15" s="259" t="str">
        <f t="shared" si="15"/>
        <v>-</v>
      </c>
      <c r="AI15" s="588"/>
      <c r="AJ15" s="458">
        <f t="shared" si="8"/>
        <v>0</v>
      </c>
      <c r="AK15" s="458">
        <f t="shared" si="9"/>
        <v>0</v>
      </c>
      <c r="AP15" s="54"/>
      <c r="AQ15" s="276">
        <f>+AU7</f>
        <v>0</v>
      </c>
      <c r="AR15" s="447">
        <f t="shared" si="10"/>
        <v>0</v>
      </c>
      <c r="AS15" s="447">
        <f t="shared" si="11"/>
        <v>0</v>
      </c>
      <c r="AT15" s="447">
        <f t="shared" si="12"/>
        <v>0</v>
      </c>
      <c r="AU15" s="259">
        <f t="shared" si="13"/>
        <v>0</v>
      </c>
      <c r="AV15" s="588"/>
    </row>
    <row r="16" spans="1:61" ht="15" x14ac:dyDescent="0.25">
      <c r="H16" s="622" t="s">
        <v>591</v>
      </c>
      <c r="I16" s="622"/>
      <c r="J16" s="622"/>
      <c r="K16" s="259">
        <v>0.7</v>
      </c>
      <c r="L16" s="623"/>
      <c r="M16" s="276">
        <f>+R7</f>
        <v>0</v>
      </c>
      <c r="N16" s="259">
        <f t="shared" si="14"/>
        <v>0</v>
      </c>
      <c r="O16" s="588"/>
      <c r="V16" s="54"/>
      <c r="W16" s="276">
        <f>+AB7</f>
        <v>0</v>
      </c>
      <c r="X16" s="259">
        <f t="shared" si="6"/>
        <v>0</v>
      </c>
      <c r="Y16" s="259">
        <f t="shared" si="7"/>
        <v>0</v>
      </c>
      <c r="Z16" s="588"/>
      <c r="AG16" s="276">
        <f>+AL7</f>
        <v>0</v>
      </c>
      <c r="AH16" s="259" t="str">
        <f t="shared" si="15"/>
        <v>-</v>
      </c>
      <c r="AI16" s="588"/>
      <c r="AJ16" s="458">
        <f t="shared" si="8"/>
        <v>0</v>
      </c>
      <c r="AK16" s="458">
        <f t="shared" si="9"/>
        <v>0</v>
      </c>
      <c r="AP16" s="54"/>
      <c r="AQ16" s="276">
        <f>+AV7</f>
        <v>0</v>
      </c>
      <c r="AR16" s="447">
        <f t="shared" si="10"/>
        <v>0</v>
      </c>
      <c r="AS16" s="447">
        <f t="shared" si="11"/>
        <v>0</v>
      </c>
      <c r="AT16" s="447">
        <f t="shared" si="12"/>
        <v>0</v>
      </c>
      <c r="AU16" s="259">
        <f t="shared" si="13"/>
        <v>0</v>
      </c>
      <c r="AV16" s="588"/>
    </row>
    <row r="17" spans="8:48" ht="15" x14ac:dyDescent="0.25">
      <c r="H17" s="622" t="s">
        <v>592</v>
      </c>
      <c r="I17" s="622"/>
      <c r="J17" s="622"/>
      <c r="K17" s="259">
        <v>0.7</v>
      </c>
      <c r="L17" s="623"/>
      <c r="M17" s="276">
        <f>+S7</f>
        <v>0</v>
      </c>
      <c r="N17" s="259">
        <f t="shared" si="14"/>
        <v>0</v>
      </c>
      <c r="O17" s="588"/>
      <c r="V17" s="54"/>
      <c r="W17" s="276">
        <f>+AC7</f>
        <v>0</v>
      </c>
      <c r="X17" s="259">
        <f t="shared" si="6"/>
        <v>0</v>
      </c>
      <c r="Y17" s="259">
        <f t="shared" si="7"/>
        <v>0</v>
      </c>
      <c r="Z17" s="588"/>
      <c r="AG17" s="276">
        <f>+AM7</f>
        <v>0</v>
      </c>
      <c r="AH17" s="259" t="str">
        <f t="shared" si="15"/>
        <v>-</v>
      </c>
      <c r="AI17" s="588"/>
      <c r="AJ17" s="458">
        <f t="shared" si="8"/>
        <v>0</v>
      </c>
      <c r="AK17" s="458">
        <f t="shared" si="9"/>
        <v>0</v>
      </c>
      <c r="AP17" s="54"/>
      <c r="AQ17" s="276">
        <f>+AW7</f>
        <v>0</v>
      </c>
      <c r="AR17" s="447">
        <f t="shared" si="10"/>
        <v>0</v>
      </c>
      <c r="AS17" s="447">
        <f t="shared" si="11"/>
        <v>0</v>
      </c>
      <c r="AT17" s="447">
        <f t="shared" si="12"/>
        <v>0</v>
      </c>
      <c r="AU17" s="259">
        <f t="shared" si="13"/>
        <v>0</v>
      </c>
      <c r="AV17" s="588"/>
    </row>
    <row r="18" spans="8:48" ht="14.25" x14ac:dyDescent="0.2">
      <c r="M18" s="408">
        <f>+AVERAGE(M11:M17)</f>
        <v>0</v>
      </c>
      <c r="V18" s="54"/>
      <c r="W18" s="408">
        <f>+AVERAGE(W11:W17)</f>
        <v>0</v>
      </c>
      <c r="AG18" s="336">
        <f>+AVERAGE(AG11:AG17)</f>
        <v>0</v>
      </c>
      <c r="AP18" s="54"/>
      <c r="AQ18" s="336">
        <f>+AVERAGE(AQ11:AQ17)</f>
        <v>0</v>
      </c>
      <c r="AU18" s="336">
        <f>+AVERAGE(AU11:AU17)</f>
        <v>0</v>
      </c>
    </row>
    <row r="19" spans="8:48" x14ac:dyDescent="0.2">
      <c r="L19" s="254"/>
      <c r="M19" s="28"/>
      <c r="V19" s="54"/>
      <c r="W19" s="28"/>
      <c r="AF19" s="54"/>
      <c r="AG19" s="28"/>
      <c r="AP19" s="54"/>
      <c r="AQ19" s="28"/>
    </row>
    <row r="20" spans="8:48" x14ac:dyDescent="0.2">
      <c r="L20" s="54"/>
      <c r="M20" s="28"/>
      <c r="V20" s="54"/>
      <c r="W20" s="28"/>
      <c r="AF20" s="54"/>
      <c r="AG20" s="28"/>
      <c r="AP20" s="54"/>
      <c r="AQ20" s="28"/>
    </row>
  </sheetData>
  <mergeCells count="52">
    <mergeCell ref="C2:BF3"/>
    <mergeCell ref="BG3:BI3"/>
    <mergeCell ref="A4:D4"/>
    <mergeCell ref="AD5:AD6"/>
    <mergeCell ref="K5:K6"/>
    <mergeCell ref="T5:T6"/>
    <mergeCell ref="U5:U6"/>
    <mergeCell ref="V5:V6"/>
    <mergeCell ref="BA5:BE5"/>
    <mergeCell ref="G5:G6"/>
    <mergeCell ref="H5:H6"/>
    <mergeCell ref="I5:I6"/>
    <mergeCell ref="L5:L6"/>
    <mergeCell ref="J5:J6"/>
    <mergeCell ref="A1:B1"/>
    <mergeCell ref="C1:BF1"/>
    <mergeCell ref="A5:A6"/>
    <mergeCell ref="B5:B6"/>
    <mergeCell ref="C5:C6"/>
    <mergeCell ref="D5:D6"/>
    <mergeCell ref="BF5:BI5"/>
    <mergeCell ref="AX5:AX6"/>
    <mergeCell ref="AY5:AY6"/>
    <mergeCell ref="AE5:AE6"/>
    <mergeCell ref="AN5:AN6"/>
    <mergeCell ref="AP5:AP6"/>
    <mergeCell ref="BG1:BI2"/>
    <mergeCell ref="A2:B3"/>
    <mergeCell ref="E5:E6"/>
    <mergeCell ref="F5:F6"/>
    <mergeCell ref="BE8:BE9"/>
    <mergeCell ref="AF8:AF9"/>
    <mergeCell ref="AP8:AP9"/>
    <mergeCell ref="AZ8:AZ9"/>
    <mergeCell ref="AO5:AO6"/>
    <mergeCell ref="AF5:AF6"/>
    <mergeCell ref="V8:V9"/>
    <mergeCell ref="O11:O17"/>
    <mergeCell ref="AZ5:AZ6"/>
    <mergeCell ref="A8:K8"/>
    <mergeCell ref="AV11:AV17"/>
    <mergeCell ref="AI11:AI17"/>
    <mergeCell ref="H10:J10"/>
    <mergeCell ref="H11:J11"/>
    <mergeCell ref="H12:J12"/>
    <mergeCell ref="H13:J13"/>
    <mergeCell ref="H14:J14"/>
    <mergeCell ref="L11:L17"/>
    <mergeCell ref="Z11:Z17"/>
    <mergeCell ref="H15:J15"/>
    <mergeCell ref="H16:J16"/>
    <mergeCell ref="H17:J17"/>
  </mergeCells>
  <conditionalFormatting sqref="BA7:BE7 BE8">
    <cfRule type="cellIs" dxfId="65" priority="1" operator="lessThan">
      <formula>0.6</formula>
    </cfRule>
    <cfRule type="cellIs" dxfId="64" priority="2" operator="between">
      <formula>60%</formula>
      <formula>79%</formula>
    </cfRule>
    <cfRule type="cellIs" dxfId="63" priority="3" operator="between">
      <formula>80%</formula>
      <formula>100%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AK9"/>
  <sheetViews>
    <sheetView topLeftCell="D3" zoomScale="70" zoomScaleNormal="70" workbookViewId="0">
      <selection activeCell="N10" sqref="N10"/>
    </sheetView>
  </sheetViews>
  <sheetFormatPr baseColWidth="10" defaultRowHeight="12.75" x14ac:dyDescent="0.2"/>
  <cols>
    <col min="1" max="1" width="21.42578125" style="28" customWidth="1"/>
    <col min="2" max="2" width="29.140625" style="28" customWidth="1"/>
    <col min="3" max="3" width="38.7109375" style="28" customWidth="1"/>
    <col min="4" max="4" width="31" style="28" customWidth="1"/>
    <col min="5" max="5" width="25.140625" style="28" customWidth="1"/>
    <col min="6" max="6" width="14.42578125" style="36" customWidth="1"/>
    <col min="7" max="7" width="25.85546875" style="28" customWidth="1"/>
    <col min="8" max="8" width="35.28515625" style="66" customWidth="1"/>
    <col min="9" max="9" width="16.5703125" style="28" customWidth="1"/>
    <col min="10" max="10" width="16.42578125" style="28" customWidth="1"/>
    <col min="11" max="11" width="19.7109375" style="28" customWidth="1"/>
    <col min="12" max="12" width="19.42578125" style="28" customWidth="1"/>
    <col min="13" max="13" width="19.42578125" style="54" customWidth="1"/>
    <col min="14" max="14" width="28.140625" style="28" customWidth="1"/>
    <col min="15" max="15" width="42" style="28" customWidth="1"/>
    <col min="16" max="16" width="22.140625" style="28" customWidth="1"/>
    <col min="17" max="17" width="19.42578125" style="54" hidden="1" customWidth="1"/>
    <col min="18" max="18" width="28.140625" style="28" hidden="1" customWidth="1"/>
    <col min="19" max="19" width="20.42578125" style="28" hidden="1" customWidth="1"/>
    <col min="20" max="20" width="22.140625" style="28" hidden="1" customWidth="1"/>
    <col min="21" max="21" width="19.42578125" style="54" hidden="1" customWidth="1"/>
    <col min="22" max="22" width="23.42578125" style="28" hidden="1" customWidth="1"/>
    <col min="23" max="23" width="20.42578125" style="28" hidden="1" customWidth="1"/>
    <col min="24" max="24" width="22.140625" style="28" hidden="1" customWidth="1"/>
    <col min="25" max="25" width="19.42578125" style="54" hidden="1" customWidth="1"/>
    <col min="26" max="26" width="23.42578125" style="28" hidden="1" customWidth="1"/>
    <col min="27" max="27" width="20.42578125" style="28" hidden="1" customWidth="1"/>
    <col min="28" max="28" width="22.140625" style="28" hidden="1" customWidth="1"/>
    <col min="29" max="29" width="17.7109375" style="28" customWidth="1"/>
    <col min="30" max="30" width="17.85546875" style="28" customWidth="1"/>
    <col min="31" max="31" width="19.140625" style="28" customWidth="1"/>
    <col min="32" max="32" width="18.7109375" style="28" customWidth="1"/>
    <col min="33" max="33" width="21" style="28" customWidth="1"/>
    <col min="34" max="34" width="26.5703125" style="28" customWidth="1"/>
    <col min="35" max="35" width="24.5703125" style="28" customWidth="1"/>
    <col min="36" max="36" width="28.140625" style="28" customWidth="1"/>
    <col min="37" max="37" width="27.85546875" style="28" customWidth="1"/>
    <col min="38" max="38" width="11.42578125" style="28"/>
    <col min="39" max="39" width="11.42578125" style="28" customWidth="1"/>
    <col min="40" max="16384" width="11.42578125" style="28"/>
  </cols>
  <sheetData>
    <row r="1" spans="1:37" ht="75.75" customHeight="1" x14ac:dyDescent="0.2">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32.25" customHeight="1" thickBot="1" x14ac:dyDescent="0.25">
      <c r="A4" s="572" t="s">
        <v>193</v>
      </c>
      <c r="B4" s="572"/>
      <c r="C4" s="572"/>
      <c r="D4" s="572"/>
    </row>
    <row r="5" spans="1:37" ht="57" customHeight="1" x14ac:dyDescent="0.2">
      <c r="A5" s="583" t="s">
        <v>1</v>
      </c>
      <c r="B5" s="575" t="s">
        <v>3</v>
      </c>
      <c r="C5" s="575" t="s">
        <v>194</v>
      </c>
      <c r="D5" s="575" t="s">
        <v>195</v>
      </c>
      <c r="E5" s="575" t="s">
        <v>196</v>
      </c>
      <c r="F5" s="581" t="s">
        <v>781</v>
      </c>
      <c r="G5" s="575" t="s">
        <v>228</v>
      </c>
      <c r="H5" s="575" t="s">
        <v>227</v>
      </c>
      <c r="I5" s="575" t="s">
        <v>8</v>
      </c>
      <c r="J5" s="575" t="s">
        <v>481</v>
      </c>
      <c r="K5" s="575" t="s">
        <v>501</v>
      </c>
      <c r="L5" s="579" t="s">
        <v>9</v>
      </c>
      <c r="M5" s="177" t="s">
        <v>716</v>
      </c>
      <c r="N5" s="573" t="s">
        <v>414</v>
      </c>
      <c r="O5" s="573" t="s">
        <v>416</v>
      </c>
      <c r="P5" s="563" t="s">
        <v>776</v>
      </c>
      <c r="Q5" s="177" t="s">
        <v>716</v>
      </c>
      <c r="R5" s="573" t="s">
        <v>414</v>
      </c>
      <c r="S5" s="573" t="s">
        <v>416</v>
      </c>
      <c r="T5" s="563" t="s">
        <v>474</v>
      </c>
      <c r="U5" s="177" t="s">
        <v>716</v>
      </c>
      <c r="V5" s="573" t="s">
        <v>414</v>
      </c>
      <c r="W5" s="573" t="s">
        <v>416</v>
      </c>
      <c r="X5" s="563" t="s">
        <v>477</v>
      </c>
      <c r="Y5" s="177" t="s">
        <v>716</v>
      </c>
      <c r="Z5" s="573" t="s">
        <v>414</v>
      </c>
      <c r="AA5" s="573" t="s">
        <v>416</v>
      </c>
      <c r="AB5" s="563" t="s">
        <v>479</v>
      </c>
      <c r="AC5" s="626" t="s">
        <v>11</v>
      </c>
      <c r="AD5" s="627"/>
      <c r="AE5" s="627"/>
      <c r="AF5" s="627"/>
      <c r="AG5" s="628"/>
      <c r="AH5" s="569" t="s">
        <v>717</v>
      </c>
      <c r="AI5" s="570"/>
      <c r="AJ5" s="570"/>
      <c r="AK5" s="571"/>
    </row>
    <row r="6" spans="1:37" ht="63" customHeight="1" x14ac:dyDescent="0.2">
      <c r="A6" s="584"/>
      <c r="B6" s="514"/>
      <c r="C6" s="514"/>
      <c r="D6" s="514"/>
      <c r="E6" s="514"/>
      <c r="F6" s="582"/>
      <c r="G6" s="514"/>
      <c r="H6" s="514"/>
      <c r="I6" s="514"/>
      <c r="J6" s="514"/>
      <c r="K6" s="514"/>
      <c r="L6" s="580"/>
      <c r="M6" s="141" t="s">
        <v>775</v>
      </c>
      <c r="N6" s="574"/>
      <c r="O6" s="574"/>
      <c r="P6" s="564"/>
      <c r="Q6" s="141" t="s">
        <v>298</v>
      </c>
      <c r="R6" s="574"/>
      <c r="S6" s="574"/>
      <c r="T6" s="564"/>
      <c r="U6" s="141" t="s">
        <v>287</v>
      </c>
      <c r="V6" s="574"/>
      <c r="W6" s="574"/>
      <c r="X6" s="564"/>
      <c r="Y6" s="141" t="s">
        <v>288</v>
      </c>
      <c r="Z6" s="574"/>
      <c r="AA6" s="574"/>
      <c r="AB6" s="564"/>
      <c r="AC6" s="154" t="s">
        <v>198</v>
      </c>
      <c r="AD6" s="5" t="s">
        <v>199</v>
      </c>
      <c r="AE6" s="5" t="s">
        <v>200</v>
      </c>
      <c r="AF6" s="5" t="s">
        <v>201</v>
      </c>
      <c r="AG6" s="155" t="s">
        <v>20</v>
      </c>
      <c r="AH6" s="159" t="s">
        <v>202</v>
      </c>
      <c r="AI6" s="31" t="s">
        <v>203</v>
      </c>
      <c r="AJ6" s="31" t="s">
        <v>204</v>
      </c>
      <c r="AK6" s="160" t="s">
        <v>205</v>
      </c>
    </row>
    <row r="7" spans="1:37" s="35" customFormat="1" ht="118.5" customHeight="1" x14ac:dyDescent="0.25">
      <c r="A7" s="249" t="s">
        <v>48</v>
      </c>
      <c r="B7" s="248" t="s">
        <v>305</v>
      </c>
      <c r="C7" s="248" t="s">
        <v>214</v>
      </c>
      <c r="D7" s="248" t="s">
        <v>306</v>
      </c>
      <c r="E7" s="248" t="s">
        <v>307</v>
      </c>
      <c r="F7" s="251" t="s">
        <v>309</v>
      </c>
      <c r="G7" s="409" t="s">
        <v>785</v>
      </c>
      <c r="H7" s="409" t="s">
        <v>788</v>
      </c>
      <c r="I7" s="6">
        <v>1</v>
      </c>
      <c r="J7" s="12" t="s">
        <v>482</v>
      </c>
      <c r="K7" s="11" t="s">
        <v>786</v>
      </c>
      <c r="L7" s="250" t="s">
        <v>787</v>
      </c>
      <c r="M7" s="142"/>
      <c r="N7" s="495"/>
      <c r="O7" s="495"/>
      <c r="P7" s="143" t="e">
        <f>+AVERAGE(M7:M7)</f>
        <v>#DIV/0!</v>
      </c>
      <c r="Q7" s="142"/>
      <c r="R7" s="53"/>
      <c r="S7" s="53"/>
      <c r="T7" s="143" t="e">
        <f>+AVERAGE(Q7:Q7)</f>
        <v>#DIV/0!</v>
      </c>
      <c r="U7" s="142"/>
      <c r="V7" s="53"/>
      <c r="W7" s="53"/>
      <c r="X7" s="143" t="e">
        <f>+AVERAGE(U7:U7)</f>
        <v>#DIV/0!</v>
      </c>
      <c r="Y7" s="217"/>
      <c r="Z7" s="53"/>
      <c r="AA7" s="53"/>
      <c r="AB7" s="218" t="e">
        <f>+(AVERAGE(Y7:Y7))</f>
        <v>#DIV/0!</v>
      </c>
      <c r="AC7" s="25" t="str">
        <f>IFERROR(IF(P7=1,1,(P7*100%)/1),"-")</f>
        <v>-</v>
      </c>
      <c r="AD7" s="25" t="str">
        <f>IFERROR(IF(T7=1,1,(T7*100%)/1),"-")</f>
        <v>-</v>
      </c>
      <c r="AE7" s="25" t="str">
        <f>IFERROR(IF(X7=1,1,(X7*100%)/1),"-")</f>
        <v>-</v>
      </c>
      <c r="AF7" s="25" t="str">
        <f>IFERROR(IF(AB7=1,1,(AB7*100%)/1),"-")</f>
        <v>-</v>
      </c>
      <c r="AG7" s="157" t="str">
        <f>IFERROR(AVERAGE(AC7:AF7),"-")</f>
        <v>-</v>
      </c>
      <c r="AH7" s="161"/>
      <c r="AI7" s="33"/>
      <c r="AJ7" s="34"/>
      <c r="AK7" s="162"/>
    </row>
    <row r="8" spans="1:37" ht="45.6" customHeight="1" thickBot="1" x14ac:dyDescent="0.25">
      <c r="A8" s="629" t="s">
        <v>293</v>
      </c>
      <c r="B8" s="630"/>
      <c r="C8" s="630"/>
      <c r="D8" s="630"/>
      <c r="E8" s="630"/>
      <c r="F8" s="630"/>
      <c r="G8" s="630"/>
      <c r="H8" s="630"/>
      <c r="I8" s="630"/>
      <c r="J8" s="630"/>
      <c r="K8" s="631"/>
      <c r="L8" s="632"/>
      <c r="M8" s="170" t="str">
        <f t="shared" ref="M8" si="0">IFERROR(AVERAGE(M7:M7),"-")</f>
        <v>-</v>
      </c>
      <c r="N8" s="216"/>
      <c r="O8" s="214"/>
      <c r="P8" s="635" t="str">
        <f>IFERROR(AVERAGE(P7:P7),"-")</f>
        <v>-</v>
      </c>
      <c r="Q8" s="170" t="str">
        <f t="shared" ref="Q8" si="1">IFERROR(AVERAGE(Q7:Q7),"-")</f>
        <v>-</v>
      </c>
      <c r="R8" s="216"/>
      <c r="S8" s="214"/>
      <c r="T8" s="633" t="str">
        <f>IFERROR(AVERAGE(T7:T7),"-")</f>
        <v>-</v>
      </c>
      <c r="U8" s="170" t="str">
        <f t="shared" ref="U8" si="2">IFERROR(AVERAGE(U7:U7),"-")</f>
        <v>-</v>
      </c>
      <c r="V8" s="216"/>
      <c r="W8" s="214"/>
      <c r="X8" s="619" t="str">
        <f t="shared" ref="X8:Y8" si="3">IFERROR(AVERAGE(X7:X7),"-")</f>
        <v>-</v>
      </c>
      <c r="Y8" s="215" t="str">
        <f t="shared" si="3"/>
        <v>-</v>
      </c>
      <c r="Z8" s="216"/>
      <c r="AA8" s="214"/>
      <c r="AB8" s="633" t="str">
        <f t="shared" ref="AB8:AG8" si="4">IFERROR(AVERAGE(AB7:AB7),"-")</f>
        <v>-</v>
      </c>
      <c r="AC8" s="170" t="str">
        <f t="shared" si="4"/>
        <v>-</v>
      </c>
      <c r="AD8" s="171" t="str">
        <f t="shared" si="4"/>
        <v>-</v>
      </c>
      <c r="AE8" s="171" t="str">
        <f t="shared" si="4"/>
        <v>-</v>
      </c>
      <c r="AF8" s="56" t="str">
        <f t="shared" si="4"/>
        <v>-</v>
      </c>
      <c r="AG8" s="624" t="str">
        <f t="shared" si="4"/>
        <v>-</v>
      </c>
      <c r="AH8" s="165"/>
      <c r="AI8" s="166"/>
      <c r="AJ8" s="167"/>
      <c r="AK8" s="168"/>
    </row>
    <row r="9" spans="1:37" ht="26.25" thickBot="1" x14ac:dyDescent="0.25">
      <c r="M9" s="197"/>
      <c r="N9" s="174"/>
      <c r="O9" s="187" t="s">
        <v>796</v>
      </c>
      <c r="P9" s="636"/>
      <c r="Q9" s="197"/>
      <c r="R9" s="174"/>
      <c r="S9" s="187" t="s">
        <v>295</v>
      </c>
      <c r="T9" s="634"/>
      <c r="U9" s="195"/>
      <c r="V9" s="174"/>
      <c r="W9" s="186" t="s">
        <v>296</v>
      </c>
      <c r="X9" s="620"/>
      <c r="Y9" s="195"/>
      <c r="Z9" s="174"/>
      <c r="AA9" s="186" t="s">
        <v>297</v>
      </c>
      <c r="AB9" s="634"/>
      <c r="AC9" s="172"/>
      <c r="AD9" s="173"/>
      <c r="AE9" s="174"/>
      <c r="AF9" s="158" t="s">
        <v>294</v>
      </c>
      <c r="AG9" s="625"/>
    </row>
  </sheetData>
  <mergeCells count="39">
    <mergeCell ref="O5:O6"/>
    <mergeCell ref="P5:P6"/>
    <mergeCell ref="AG8:AG9"/>
    <mergeCell ref="A8:L8"/>
    <mergeCell ref="T8:T9"/>
    <mergeCell ref="X8:X9"/>
    <mergeCell ref="AB8:AB9"/>
    <mergeCell ref="P8:P9"/>
    <mergeCell ref="H5:H6"/>
    <mergeCell ref="I5:I6"/>
    <mergeCell ref="Z5:Z6"/>
    <mergeCell ref="AA5:AA6"/>
    <mergeCell ref="K5:K6"/>
    <mergeCell ref="L5:L6"/>
    <mergeCell ref="T5:T6"/>
    <mergeCell ref="X5:X6"/>
    <mergeCell ref="AI1:AK2"/>
    <mergeCell ref="A2:B3"/>
    <mergeCell ref="C2:AH3"/>
    <mergeCell ref="AI3:AK3"/>
    <mergeCell ref="A4:D4"/>
    <mergeCell ref="A1:B1"/>
    <mergeCell ref="C1:AH1"/>
    <mergeCell ref="A5:A6"/>
    <mergeCell ref="B5:B6"/>
    <mergeCell ref="C5:C6"/>
    <mergeCell ref="D5:D6"/>
    <mergeCell ref="AH5:AK5"/>
    <mergeCell ref="AB5:AB6"/>
    <mergeCell ref="R5:R6"/>
    <mergeCell ref="S5:S6"/>
    <mergeCell ref="V5:V6"/>
    <mergeCell ref="W5:W6"/>
    <mergeCell ref="AC5:AG5"/>
    <mergeCell ref="J5:J6"/>
    <mergeCell ref="E5:E6"/>
    <mergeCell ref="F5:F6"/>
    <mergeCell ref="G5:G6"/>
    <mergeCell ref="N5:N6"/>
  </mergeCells>
  <conditionalFormatting sqref="AC7:AG7 AG8">
    <cfRule type="cellIs" dxfId="62" priority="1" operator="lessThan">
      <formula>0.6</formula>
    </cfRule>
    <cfRule type="cellIs" dxfId="61" priority="2" operator="between">
      <formula>60%</formula>
      <formula>79%</formula>
    </cfRule>
    <cfRule type="cellIs" dxfId="60" priority="3" operator="between">
      <formula>80%</formula>
      <formula>100%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BX22"/>
  <sheetViews>
    <sheetView topLeftCell="D2" zoomScale="70" zoomScaleNormal="70" workbookViewId="0">
      <selection activeCell="Z10" sqref="Z10"/>
    </sheetView>
  </sheetViews>
  <sheetFormatPr baseColWidth="10" defaultRowHeight="12.75" x14ac:dyDescent="0.2"/>
  <cols>
    <col min="1" max="1" width="21.42578125" style="28" customWidth="1"/>
    <col min="2" max="2" width="29.140625" style="28" customWidth="1"/>
    <col min="3" max="3" width="38.7109375" style="28" customWidth="1"/>
    <col min="4" max="4" width="31" style="28" customWidth="1"/>
    <col min="5" max="5" width="20.7109375" style="28" customWidth="1"/>
    <col min="6" max="6" width="14.42578125" style="36" customWidth="1"/>
    <col min="7" max="7" width="25.85546875" style="28" customWidth="1"/>
    <col min="8" max="8" width="35.28515625" style="66" customWidth="1"/>
    <col min="9" max="9" width="16.5703125" style="28" customWidth="1"/>
    <col min="10" max="10" width="15.140625" style="28" customWidth="1"/>
    <col min="11" max="11" width="18.140625" style="28" customWidth="1"/>
    <col min="12" max="12" width="19.42578125" style="28" customWidth="1"/>
    <col min="13" max="14" width="19.42578125" style="54" customWidth="1"/>
    <col min="15" max="15" width="19.42578125" style="28" customWidth="1"/>
    <col min="16" max="16" width="17.85546875" style="28" customWidth="1"/>
    <col min="17" max="17" width="18.140625" style="28" customWidth="1"/>
    <col min="18" max="23" width="20.42578125" style="28" customWidth="1"/>
    <col min="24" max="24" width="41.42578125" style="28" customWidth="1"/>
    <col min="25" max="25" width="56" style="28" customWidth="1"/>
    <col min="26" max="26" width="22.140625" style="28" customWidth="1"/>
    <col min="27" max="28" width="19.42578125" style="54" hidden="1" customWidth="1"/>
    <col min="29" max="29" width="19.42578125" style="28" hidden="1" customWidth="1"/>
    <col min="30" max="30" width="17.85546875" style="28" hidden="1" customWidth="1"/>
    <col min="31" max="31" width="18.140625" style="28" hidden="1" customWidth="1"/>
    <col min="32" max="37" width="20.42578125" style="28" hidden="1" customWidth="1"/>
    <col min="38" max="38" width="41.42578125" style="28" hidden="1" customWidth="1"/>
    <col min="39" max="39" width="27" style="28" hidden="1" customWidth="1"/>
    <col min="40" max="40" width="22.140625" style="28" hidden="1" customWidth="1"/>
    <col min="41" max="41" width="19.42578125" style="54" hidden="1" customWidth="1"/>
    <col min="42" max="42" width="19.42578125" style="28" hidden="1" customWidth="1"/>
    <col min="43" max="43" width="19.140625" style="28" hidden="1" customWidth="1"/>
    <col min="44" max="50" width="18.140625" style="28" hidden="1" customWidth="1"/>
    <col min="51" max="51" width="20.42578125" style="28" hidden="1" customWidth="1"/>
    <col min="52" max="52" width="41.42578125" style="28" hidden="1" customWidth="1"/>
    <col min="53" max="53" width="27" style="28" hidden="1" customWidth="1"/>
    <col min="54" max="54" width="22.140625" style="28" hidden="1" customWidth="1"/>
    <col min="55" max="55" width="19.42578125" style="54" hidden="1" customWidth="1"/>
    <col min="56" max="56" width="19.42578125" style="28" hidden="1" customWidth="1"/>
    <col min="57" max="57" width="17.85546875" style="28" hidden="1" customWidth="1"/>
    <col min="58" max="63" width="18.140625" style="28" hidden="1" customWidth="1"/>
    <col min="64" max="64" width="20.42578125" style="28" hidden="1" customWidth="1"/>
    <col min="65" max="65" width="41.42578125" style="28" hidden="1" customWidth="1"/>
    <col min="66" max="66" width="27" style="28" hidden="1" customWidth="1"/>
    <col min="67" max="67" width="22.140625" style="28" hidden="1" customWidth="1"/>
    <col min="68" max="68" width="17.7109375" style="28" customWidth="1"/>
    <col min="69" max="69" width="17.85546875" style="28" customWidth="1"/>
    <col min="70" max="70" width="19.140625" style="28" customWidth="1"/>
    <col min="71" max="71" width="18.7109375" style="28" customWidth="1"/>
    <col min="72" max="72" width="21" style="28" customWidth="1"/>
    <col min="73" max="73" width="26.5703125" style="28" customWidth="1"/>
    <col min="74" max="74" width="24.5703125" style="28" customWidth="1"/>
    <col min="75" max="75" width="28.140625" style="28" customWidth="1"/>
    <col min="76" max="76" width="27.85546875" style="28" customWidth="1"/>
    <col min="77" max="77" width="11.42578125" style="28"/>
    <col min="78" max="78" width="11.42578125" style="28" customWidth="1"/>
    <col min="79" max="16384" width="11.42578125" style="28"/>
  </cols>
  <sheetData>
    <row r="1" spans="1:76" ht="75.75" customHeight="1" x14ac:dyDescent="0.2">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77"/>
      <c r="BW1" s="577"/>
      <c r="BX1" s="577"/>
    </row>
    <row r="2" spans="1:76" ht="41.25" customHeight="1" x14ac:dyDescent="0.2">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68"/>
      <c r="BH2" s="568"/>
      <c r="BI2" s="568"/>
      <c r="BJ2" s="568"/>
      <c r="BK2" s="568"/>
      <c r="BL2" s="568"/>
      <c r="BM2" s="568"/>
      <c r="BN2" s="568"/>
      <c r="BO2" s="568"/>
      <c r="BP2" s="568"/>
      <c r="BQ2" s="568"/>
      <c r="BR2" s="568"/>
      <c r="BS2" s="568"/>
      <c r="BT2" s="568"/>
      <c r="BU2" s="568"/>
      <c r="BV2" s="577"/>
      <c r="BW2" s="577"/>
      <c r="BX2" s="577"/>
    </row>
    <row r="3" spans="1:76" ht="41.25" customHeight="1" x14ac:dyDescent="0.2">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78" t="s">
        <v>718</v>
      </c>
      <c r="BW3" s="578"/>
      <c r="BX3" s="578"/>
    </row>
    <row r="4" spans="1:76" ht="32.25" customHeight="1" thickBot="1" x14ac:dyDescent="0.25">
      <c r="A4" s="572" t="s">
        <v>193</v>
      </c>
      <c r="B4" s="572"/>
      <c r="C4" s="572"/>
      <c r="D4" s="572"/>
    </row>
    <row r="5" spans="1:76" ht="48.75" customHeight="1" x14ac:dyDescent="0.2">
      <c r="A5" s="583" t="s">
        <v>1</v>
      </c>
      <c r="B5" s="575" t="s">
        <v>3</v>
      </c>
      <c r="C5" s="575" t="s">
        <v>194</v>
      </c>
      <c r="D5" s="575" t="s">
        <v>195</v>
      </c>
      <c r="E5" s="575" t="s">
        <v>234</v>
      </c>
      <c r="F5" s="581" t="s">
        <v>781</v>
      </c>
      <c r="G5" s="575" t="s">
        <v>228</v>
      </c>
      <c r="H5" s="575" t="s">
        <v>227</v>
      </c>
      <c r="I5" s="575" t="s">
        <v>8</v>
      </c>
      <c r="J5" s="575" t="s">
        <v>481</v>
      </c>
      <c r="K5" s="575" t="s">
        <v>501</v>
      </c>
      <c r="L5" s="646" t="s">
        <v>9</v>
      </c>
      <c r="M5" s="177" t="s">
        <v>413</v>
      </c>
      <c r="N5" s="194" t="s">
        <v>242</v>
      </c>
      <c r="O5" s="194" t="s">
        <v>508</v>
      </c>
      <c r="P5" s="194" t="s">
        <v>509</v>
      </c>
      <c r="Q5" s="194" t="s">
        <v>232</v>
      </c>
      <c r="R5" s="194" t="s">
        <v>224</v>
      </c>
      <c r="S5" s="194" t="s">
        <v>225</v>
      </c>
      <c r="T5" s="194" t="s">
        <v>289</v>
      </c>
      <c r="U5" s="194" t="s">
        <v>543</v>
      </c>
      <c r="V5" s="194" t="s">
        <v>496</v>
      </c>
      <c r="W5" s="194" t="s">
        <v>759</v>
      </c>
      <c r="X5" s="573" t="s">
        <v>414</v>
      </c>
      <c r="Y5" s="573" t="s">
        <v>416</v>
      </c>
      <c r="Z5" s="563" t="s">
        <v>789</v>
      </c>
      <c r="AA5" s="177" t="s">
        <v>413</v>
      </c>
      <c r="AB5" s="194" t="s">
        <v>242</v>
      </c>
      <c r="AC5" s="194" t="s">
        <v>508</v>
      </c>
      <c r="AD5" s="194" t="s">
        <v>509</v>
      </c>
      <c r="AE5" s="194" t="s">
        <v>232</v>
      </c>
      <c r="AF5" s="194" t="s">
        <v>224</v>
      </c>
      <c r="AG5" s="194" t="s">
        <v>225</v>
      </c>
      <c r="AH5" s="194" t="s">
        <v>289</v>
      </c>
      <c r="AI5" s="194" t="s">
        <v>543</v>
      </c>
      <c r="AJ5" s="194" t="s">
        <v>496</v>
      </c>
      <c r="AK5" s="194" t="s">
        <v>759</v>
      </c>
      <c r="AL5" s="573" t="s">
        <v>414</v>
      </c>
      <c r="AM5" s="573" t="s">
        <v>416</v>
      </c>
      <c r="AN5" s="563" t="s">
        <v>290</v>
      </c>
      <c r="AO5" s="461" t="s">
        <v>413</v>
      </c>
      <c r="AP5" s="233" t="s">
        <v>242</v>
      </c>
      <c r="AQ5" s="233" t="s">
        <v>508</v>
      </c>
      <c r="AR5" s="233" t="s">
        <v>509</v>
      </c>
      <c r="AS5" s="233" t="s">
        <v>232</v>
      </c>
      <c r="AT5" s="233" t="s">
        <v>224</v>
      </c>
      <c r="AU5" s="233" t="s">
        <v>225</v>
      </c>
      <c r="AV5" s="233" t="s">
        <v>289</v>
      </c>
      <c r="AW5" s="233" t="s">
        <v>543</v>
      </c>
      <c r="AX5" s="233" t="s">
        <v>496</v>
      </c>
      <c r="AY5" s="233" t="s">
        <v>759</v>
      </c>
      <c r="AZ5" s="573" t="s">
        <v>414</v>
      </c>
      <c r="BA5" s="573" t="s">
        <v>416</v>
      </c>
      <c r="BB5" s="563" t="s">
        <v>291</v>
      </c>
      <c r="BC5" s="184" t="s">
        <v>413</v>
      </c>
      <c r="BD5" s="233" t="s">
        <v>242</v>
      </c>
      <c r="BE5" s="233" t="s">
        <v>508</v>
      </c>
      <c r="BF5" s="233" t="s">
        <v>509</v>
      </c>
      <c r="BG5" s="233" t="s">
        <v>232</v>
      </c>
      <c r="BH5" s="233" t="s">
        <v>224</v>
      </c>
      <c r="BI5" s="233" t="s">
        <v>225</v>
      </c>
      <c r="BJ5" s="233" t="s">
        <v>289</v>
      </c>
      <c r="BK5" s="233" t="s">
        <v>543</v>
      </c>
      <c r="BL5" s="233" t="s">
        <v>496</v>
      </c>
      <c r="BM5" s="573" t="s">
        <v>414</v>
      </c>
      <c r="BN5" s="573" t="s">
        <v>416</v>
      </c>
      <c r="BO5" s="581" t="s">
        <v>292</v>
      </c>
      <c r="BP5" s="640" t="s">
        <v>11</v>
      </c>
      <c r="BQ5" s="641"/>
      <c r="BR5" s="641"/>
      <c r="BS5" s="641"/>
      <c r="BT5" s="642"/>
      <c r="BU5" s="643" t="s">
        <v>539</v>
      </c>
      <c r="BV5" s="644"/>
      <c r="BW5" s="644"/>
      <c r="BX5" s="645"/>
    </row>
    <row r="6" spans="1:76" ht="42.75" customHeight="1" x14ac:dyDescent="0.2">
      <c r="A6" s="584"/>
      <c r="B6" s="514"/>
      <c r="C6" s="514"/>
      <c r="D6" s="514"/>
      <c r="E6" s="514"/>
      <c r="F6" s="582"/>
      <c r="G6" s="514"/>
      <c r="H6" s="514"/>
      <c r="I6" s="514"/>
      <c r="J6" s="514"/>
      <c r="K6" s="514"/>
      <c r="L6" s="647"/>
      <c r="M6" s="141" t="s">
        <v>775</v>
      </c>
      <c r="N6" s="4" t="s">
        <v>775</v>
      </c>
      <c r="O6" s="4" t="s">
        <v>775</v>
      </c>
      <c r="P6" s="4" t="s">
        <v>775</v>
      </c>
      <c r="Q6" s="4" t="s">
        <v>775</v>
      </c>
      <c r="R6" s="4" t="s">
        <v>775</v>
      </c>
      <c r="S6" s="4" t="s">
        <v>775</v>
      </c>
      <c r="T6" s="4" t="s">
        <v>775</v>
      </c>
      <c r="U6" s="4" t="s">
        <v>775</v>
      </c>
      <c r="V6" s="4" t="s">
        <v>775</v>
      </c>
      <c r="W6" s="4" t="s">
        <v>775</v>
      </c>
      <c r="X6" s="574"/>
      <c r="Y6" s="574"/>
      <c r="Z6" s="564"/>
      <c r="AA6" s="141" t="s">
        <v>298</v>
      </c>
      <c r="AB6" s="4" t="s">
        <v>298</v>
      </c>
      <c r="AC6" s="4" t="s">
        <v>298</v>
      </c>
      <c r="AD6" s="4" t="s">
        <v>298</v>
      </c>
      <c r="AE6" s="4" t="s">
        <v>298</v>
      </c>
      <c r="AF6" s="4" t="s">
        <v>298</v>
      </c>
      <c r="AG6" s="4" t="s">
        <v>298</v>
      </c>
      <c r="AH6" s="4" t="s">
        <v>298</v>
      </c>
      <c r="AI6" s="4" t="s">
        <v>298</v>
      </c>
      <c r="AJ6" s="4" t="s">
        <v>298</v>
      </c>
      <c r="AK6" s="4" t="s">
        <v>298</v>
      </c>
      <c r="AL6" s="574"/>
      <c r="AM6" s="574"/>
      <c r="AN6" s="564"/>
      <c r="AO6" s="220" t="s">
        <v>287</v>
      </c>
      <c r="AP6" s="4" t="s">
        <v>287</v>
      </c>
      <c r="AQ6" s="4" t="s">
        <v>287</v>
      </c>
      <c r="AR6" s="4" t="s">
        <v>287</v>
      </c>
      <c r="AS6" s="4" t="s">
        <v>287</v>
      </c>
      <c r="AT6" s="4" t="s">
        <v>287</v>
      </c>
      <c r="AU6" s="4" t="s">
        <v>287</v>
      </c>
      <c r="AV6" s="4" t="s">
        <v>287</v>
      </c>
      <c r="AW6" s="4" t="s">
        <v>287</v>
      </c>
      <c r="AX6" s="4" t="s">
        <v>287</v>
      </c>
      <c r="AY6" s="4" t="s">
        <v>287</v>
      </c>
      <c r="AZ6" s="574"/>
      <c r="BA6" s="574"/>
      <c r="BB6" s="564"/>
      <c r="BC6" s="220" t="s">
        <v>288</v>
      </c>
      <c r="BD6" s="4" t="s">
        <v>288</v>
      </c>
      <c r="BE6" s="4" t="s">
        <v>288</v>
      </c>
      <c r="BF6" s="4" t="s">
        <v>288</v>
      </c>
      <c r="BG6" s="4" t="s">
        <v>288</v>
      </c>
      <c r="BH6" s="4" t="s">
        <v>288</v>
      </c>
      <c r="BI6" s="4" t="s">
        <v>288</v>
      </c>
      <c r="BJ6" s="4" t="s">
        <v>288</v>
      </c>
      <c r="BK6" s="4" t="s">
        <v>288</v>
      </c>
      <c r="BL6" s="4" t="s">
        <v>288</v>
      </c>
      <c r="BM6" s="574"/>
      <c r="BN6" s="574"/>
      <c r="BO6" s="582"/>
      <c r="BP6" s="5" t="s">
        <v>198</v>
      </c>
      <c r="BQ6" s="5" t="s">
        <v>199</v>
      </c>
      <c r="BR6" s="5" t="s">
        <v>200</v>
      </c>
      <c r="BS6" s="5" t="s">
        <v>201</v>
      </c>
      <c r="BT6" s="5" t="s">
        <v>20</v>
      </c>
      <c r="BU6" s="31" t="s">
        <v>202</v>
      </c>
      <c r="BV6" s="31" t="s">
        <v>203</v>
      </c>
      <c r="BW6" s="31" t="s">
        <v>204</v>
      </c>
      <c r="BX6" s="31" t="s">
        <v>205</v>
      </c>
    </row>
    <row r="7" spans="1:76" s="35" customFormat="1" ht="91.5" customHeight="1" x14ac:dyDescent="0.25">
      <c r="A7" s="613" t="s">
        <v>48</v>
      </c>
      <c r="B7" s="585" t="s">
        <v>305</v>
      </c>
      <c r="C7" s="585" t="s">
        <v>214</v>
      </c>
      <c r="D7" s="585" t="s">
        <v>306</v>
      </c>
      <c r="E7" s="585" t="s">
        <v>675</v>
      </c>
      <c r="F7" s="610">
        <v>0.75</v>
      </c>
      <c r="G7" s="6" t="s">
        <v>610</v>
      </c>
      <c r="H7" s="61" t="s">
        <v>618</v>
      </c>
      <c r="I7" s="6" t="s">
        <v>715</v>
      </c>
      <c r="J7" s="11" t="s">
        <v>669</v>
      </c>
      <c r="K7" s="12" t="s">
        <v>619</v>
      </c>
      <c r="L7" s="415" t="s">
        <v>616</v>
      </c>
      <c r="M7" s="142"/>
      <c r="N7" s="53"/>
      <c r="O7" s="53"/>
      <c r="P7" s="53"/>
      <c r="Q7" s="53"/>
      <c r="R7" s="53"/>
      <c r="S7" s="53"/>
      <c r="T7" s="53"/>
      <c r="U7" s="53"/>
      <c r="V7" s="53"/>
      <c r="W7" s="53"/>
      <c r="X7" s="53"/>
      <c r="Y7" s="415"/>
      <c r="Z7" s="491" t="e">
        <f>AVERAGE(N7:V7)</f>
        <v>#DIV/0!</v>
      </c>
      <c r="AA7" s="142"/>
      <c r="AB7" s="53"/>
      <c r="AC7" s="53"/>
      <c r="AD7" s="53"/>
      <c r="AE7" s="53"/>
      <c r="AF7" s="53"/>
      <c r="AG7" s="53"/>
      <c r="AH7" s="53"/>
      <c r="AI7" s="53"/>
      <c r="AJ7" s="53"/>
      <c r="AK7" s="53"/>
      <c r="AL7" s="53"/>
      <c r="AM7" s="415"/>
      <c r="AN7" s="143" t="e">
        <f>AVERAGE(AA7:AJ7)</f>
        <v>#DIV/0!</v>
      </c>
      <c r="AO7" s="221"/>
      <c r="AP7" s="55"/>
      <c r="AQ7" s="55"/>
      <c r="AR7" s="55"/>
      <c r="AS7" s="55"/>
      <c r="AT7" s="55"/>
      <c r="AU7" s="55"/>
      <c r="AV7" s="55"/>
      <c r="AW7" s="55"/>
      <c r="AX7" s="55"/>
      <c r="AY7" s="55"/>
      <c r="AZ7" s="53"/>
      <c r="BA7" s="53"/>
      <c r="BB7" s="143" t="e">
        <f>+AVERAGE(AO7:AY7)</f>
        <v>#DIV/0!</v>
      </c>
      <c r="BC7" s="221"/>
      <c r="BD7" s="55"/>
      <c r="BE7" s="55"/>
      <c r="BF7" s="55"/>
      <c r="BG7" s="55"/>
      <c r="BH7" s="55"/>
      <c r="BI7" s="55"/>
      <c r="BJ7" s="55"/>
      <c r="BK7" s="55"/>
      <c r="BL7" s="55"/>
      <c r="BM7" s="53"/>
      <c r="BN7" s="53"/>
      <c r="BO7" s="64" t="e">
        <f>AVERAGE(BC7:BL7)</f>
        <v>#DIV/0!</v>
      </c>
      <c r="BP7" s="25" t="str">
        <f>IFERROR(IF(Z7&gt;=0.9,1,(Z7*100%)/0.9),"-")</f>
        <v>-</v>
      </c>
      <c r="BQ7" s="25" t="str">
        <f>IFERROR(IF(AN7&gt;=0.9,1,(AN7*100%)/0.9),"-")</f>
        <v>-</v>
      </c>
      <c r="BR7" s="25" t="str">
        <f>IFERROR(IF(BB7&gt;=0.9,1,(BB7*100%)/0.9),"-")</f>
        <v>-</v>
      </c>
      <c r="BS7" s="25" t="str">
        <f>IFERROR(IF(BO7&gt;=0.9,1,(BO7*100%)/0.9),"-")</f>
        <v>-</v>
      </c>
      <c r="BT7" s="25" t="str">
        <f>IFERROR(AVERAGE(BP7:BS7),"-")</f>
        <v>-</v>
      </c>
      <c r="BU7" s="32"/>
      <c r="BV7" s="33"/>
      <c r="BW7" s="34"/>
      <c r="BX7" s="34"/>
    </row>
    <row r="8" spans="1:76" ht="116.25" customHeight="1" x14ac:dyDescent="0.2">
      <c r="A8" s="614"/>
      <c r="B8" s="586"/>
      <c r="C8" s="586"/>
      <c r="D8" s="586"/>
      <c r="E8" s="586"/>
      <c r="F8" s="611"/>
      <c r="G8" s="6" t="s">
        <v>611</v>
      </c>
      <c r="H8" s="295" t="s">
        <v>617</v>
      </c>
      <c r="I8" s="6" t="s">
        <v>132</v>
      </c>
      <c r="J8" s="11" t="s">
        <v>669</v>
      </c>
      <c r="K8" s="12" t="s">
        <v>620</v>
      </c>
      <c r="L8" s="415" t="s">
        <v>616</v>
      </c>
      <c r="M8" s="142"/>
      <c r="N8" s="53"/>
      <c r="O8" s="53"/>
      <c r="P8" s="53"/>
      <c r="Q8" s="53"/>
      <c r="R8" s="53"/>
      <c r="S8" s="53"/>
      <c r="T8" s="53"/>
      <c r="U8" s="53"/>
      <c r="V8" s="53"/>
      <c r="W8" s="53"/>
      <c r="X8" s="55"/>
      <c r="Y8" s="55"/>
      <c r="Z8" s="491" t="e">
        <f>AVERAGE(N8:V8)</f>
        <v>#DIV/0!</v>
      </c>
      <c r="AA8" s="142"/>
      <c r="AB8" s="53"/>
      <c r="AC8" s="53"/>
      <c r="AD8" s="53"/>
      <c r="AE8" s="53"/>
      <c r="AF8" s="53"/>
      <c r="AG8" s="53"/>
      <c r="AH8" s="53"/>
      <c r="AI8" s="53"/>
      <c r="AJ8" s="53"/>
      <c r="AK8" s="53"/>
      <c r="AL8" s="55"/>
      <c r="AM8" s="7"/>
      <c r="AN8" s="143" t="e">
        <f>(AVERAGE(AA8:AJ8))</f>
        <v>#DIV/0!</v>
      </c>
      <c r="AO8" s="221"/>
      <c r="AP8" s="55"/>
      <c r="AQ8" s="55"/>
      <c r="AR8" s="55"/>
      <c r="AS8" s="55"/>
      <c r="AT8" s="55"/>
      <c r="AU8" s="55"/>
      <c r="AV8" s="55"/>
      <c r="AW8" s="55"/>
      <c r="AX8" s="55"/>
      <c r="AY8" s="55"/>
      <c r="AZ8" s="55"/>
      <c r="BA8" s="7"/>
      <c r="BB8" s="143" t="e">
        <f>AVERAGE(AO8:AY8)</f>
        <v>#DIV/0!</v>
      </c>
      <c r="BC8" s="221"/>
      <c r="BD8" s="7"/>
      <c r="BE8" s="7"/>
      <c r="BF8" s="7"/>
      <c r="BG8" s="7"/>
      <c r="BH8" s="7"/>
      <c r="BI8" s="7"/>
      <c r="BJ8" s="7"/>
      <c r="BK8" s="7"/>
      <c r="BL8" s="7"/>
      <c r="BM8" s="55"/>
      <c r="BN8" s="7"/>
      <c r="BO8" s="64" t="e">
        <f>+AVERAGE(BC8:BL8)</f>
        <v>#DIV/0!</v>
      </c>
      <c r="BP8" s="25" t="str">
        <f>IFERROR(IF(Z8&gt;=0.8,1,(Z8*100%)/0.8),"-")</f>
        <v>-</v>
      </c>
      <c r="BQ8" s="25" t="str">
        <f>IFERROR(IF(AN8&gt;=0.8,1,(AN8*100%)/0.8),"-")</f>
        <v>-</v>
      </c>
      <c r="BR8" s="25" t="str">
        <f>IFERROR(IF(BB8&gt;=0.8,1,(BB8*100%)/0.8),"-")</f>
        <v>-</v>
      </c>
      <c r="BS8" s="25" t="str">
        <f>IFERROR(IF(BO8&gt;=0.8,1,(BO8*100%)/0.8),"-")</f>
        <v>-</v>
      </c>
      <c r="BT8" s="25" t="str">
        <f>IFERROR(AVERAGE(BP8:BS8),"-")</f>
        <v>-</v>
      </c>
      <c r="BU8" s="26"/>
      <c r="BV8" s="29"/>
      <c r="BW8" s="27"/>
      <c r="BX8" s="27"/>
    </row>
    <row r="9" spans="1:76" ht="72.75" customHeight="1" x14ac:dyDescent="0.2">
      <c r="A9" s="614"/>
      <c r="B9" s="586"/>
      <c r="C9" s="586"/>
      <c r="D9" s="586"/>
      <c r="E9" s="586"/>
      <c r="F9" s="611"/>
      <c r="G9" s="6" t="s">
        <v>612</v>
      </c>
      <c r="H9" s="61" t="s">
        <v>613</v>
      </c>
      <c r="I9" s="6" t="s">
        <v>132</v>
      </c>
      <c r="J9" s="11" t="s">
        <v>669</v>
      </c>
      <c r="K9" s="12" t="s">
        <v>619</v>
      </c>
      <c r="L9" s="415" t="s">
        <v>616</v>
      </c>
      <c r="M9" s="142"/>
      <c r="N9" s="53"/>
      <c r="O9" s="53"/>
      <c r="P9" s="53"/>
      <c r="Q9" s="53"/>
      <c r="R9" s="53"/>
      <c r="S9" s="53"/>
      <c r="T9" s="53"/>
      <c r="U9" s="53"/>
      <c r="V9" s="53"/>
      <c r="W9" s="53"/>
      <c r="X9" s="55"/>
      <c r="Y9" s="55"/>
      <c r="Z9" s="491" t="e">
        <f>AVERAGE(N9:V9)</f>
        <v>#DIV/0!</v>
      </c>
      <c r="AA9" s="142"/>
      <c r="AB9" s="53"/>
      <c r="AC9" s="53"/>
      <c r="AD9" s="53"/>
      <c r="AE9" s="53"/>
      <c r="AF9" s="53"/>
      <c r="AG9" s="53"/>
      <c r="AH9" s="53"/>
      <c r="AI9" s="53"/>
      <c r="AJ9" s="53"/>
      <c r="AK9" s="53"/>
      <c r="AL9" s="55"/>
      <c r="AM9" s="7"/>
      <c r="AN9" s="143" t="e">
        <f>(AVERAGE(AA9:AK9))</f>
        <v>#DIV/0!</v>
      </c>
      <c r="AO9" s="221"/>
      <c r="AP9" s="7"/>
      <c r="AQ9" s="7"/>
      <c r="AR9" s="7"/>
      <c r="AS9" s="7"/>
      <c r="AT9" s="7"/>
      <c r="AU9" s="7"/>
      <c r="AV9" s="7"/>
      <c r="AW9" s="7"/>
      <c r="AX9" s="7"/>
      <c r="AY9" s="388"/>
      <c r="AZ9" s="55"/>
      <c r="BA9" s="7"/>
      <c r="BB9" s="143" t="e">
        <f>AVERAGE(AO9:AY9)</f>
        <v>#DIV/0!</v>
      </c>
      <c r="BC9" s="221"/>
      <c r="BD9" s="53"/>
      <c r="BE9" s="7"/>
      <c r="BF9" s="7"/>
      <c r="BG9" s="7"/>
      <c r="BH9" s="7"/>
      <c r="BI9" s="7"/>
      <c r="BJ9" s="7"/>
      <c r="BK9" s="7"/>
      <c r="BL9" s="7"/>
      <c r="BM9" s="55"/>
      <c r="BN9" s="7"/>
      <c r="BO9" s="64" t="e">
        <f>+AVERAGE(BC9:BL9)</f>
        <v>#DIV/0!</v>
      </c>
      <c r="BP9" s="25" t="str">
        <f>IFERROR(IF(Z9&gt;=0.8,1,(Z9*100%)/0.8),"-")</f>
        <v>-</v>
      </c>
      <c r="BQ9" s="25" t="str">
        <f>IFERROR(IF(AN9&gt;=0.8,1,(AN9*100%)/0.8),"-")</f>
        <v>-</v>
      </c>
      <c r="BR9" s="25" t="str">
        <f>IFERROR(IF(BB9&gt;=0.8,1,(BB9*100%)/0.8),"-")</f>
        <v>-</v>
      </c>
      <c r="BS9" s="25" t="str">
        <f>IFERROR(IF(BO9&gt;=0.8,1,(BO9*100%)/0.8),"-")</f>
        <v>-</v>
      </c>
      <c r="BT9" s="25" t="str">
        <f>IFERROR(AVERAGE(BP9:BS9),"-")</f>
        <v>-</v>
      </c>
      <c r="BU9" s="26"/>
      <c r="BV9" s="29"/>
      <c r="BW9" s="27"/>
      <c r="BX9" s="26"/>
    </row>
    <row r="10" spans="1:76" ht="72.75" customHeight="1" x14ac:dyDescent="0.2">
      <c r="A10" s="614"/>
      <c r="B10" s="586"/>
      <c r="C10" s="586"/>
      <c r="D10" s="586"/>
      <c r="E10" s="586"/>
      <c r="F10" s="611"/>
      <c r="G10" s="6" t="s">
        <v>615</v>
      </c>
      <c r="H10" s="61" t="s">
        <v>667</v>
      </c>
      <c r="I10" s="6" t="s">
        <v>614</v>
      </c>
      <c r="J10" s="11" t="s">
        <v>485</v>
      </c>
      <c r="K10" s="12" t="s">
        <v>666</v>
      </c>
      <c r="L10" s="415" t="s">
        <v>616</v>
      </c>
      <c r="M10" s="142"/>
      <c r="N10" s="53"/>
      <c r="O10" s="53"/>
      <c r="P10" s="53"/>
      <c r="Q10" s="53"/>
      <c r="R10" s="53"/>
      <c r="S10" s="53"/>
      <c r="T10" s="53"/>
      <c r="U10" s="53"/>
      <c r="V10" s="53"/>
      <c r="W10" s="53"/>
      <c r="X10" s="55"/>
      <c r="Y10" s="55"/>
      <c r="Z10" s="491" t="e">
        <f>AVERAGE(N10:V10)</f>
        <v>#DIV/0!</v>
      </c>
      <c r="AA10" s="142"/>
      <c r="AB10" s="53"/>
      <c r="AC10" s="53"/>
      <c r="AD10" s="53"/>
      <c r="AE10" s="53"/>
      <c r="AF10" s="53"/>
      <c r="AG10" s="53"/>
      <c r="AH10" s="53"/>
      <c r="AI10" s="53"/>
      <c r="AJ10" s="53"/>
      <c r="AK10" s="53"/>
      <c r="AL10" s="55"/>
      <c r="AM10" s="7"/>
      <c r="AN10" s="143" t="e">
        <f>(AVERAGE(AA10:AJ10))</f>
        <v>#DIV/0!</v>
      </c>
      <c r="AO10" s="221"/>
      <c r="AP10" s="53"/>
      <c r="AQ10" s="7"/>
      <c r="AR10" s="7"/>
      <c r="AS10" s="7"/>
      <c r="AT10" s="7"/>
      <c r="AU10" s="7"/>
      <c r="AV10" s="7"/>
      <c r="AW10" s="7"/>
      <c r="AX10" s="7"/>
      <c r="AY10" s="7"/>
      <c r="AZ10" s="55"/>
      <c r="BA10" s="7"/>
      <c r="BB10" s="143" t="e">
        <f>AVERAGE(AO10:AY10)</f>
        <v>#DIV/0!</v>
      </c>
      <c r="BC10" s="221"/>
      <c r="BD10" s="53"/>
      <c r="BE10" s="7"/>
      <c r="BF10" s="7"/>
      <c r="BG10" s="7"/>
      <c r="BH10" s="7"/>
      <c r="BI10" s="7"/>
      <c r="BJ10" s="7"/>
      <c r="BK10" s="7"/>
      <c r="BL10" s="7"/>
      <c r="BM10" s="55"/>
      <c r="BN10" s="7"/>
      <c r="BO10" s="64" t="e">
        <f>+AVERAGE(BC10:BL10)</f>
        <v>#DIV/0!</v>
      </c>
      <c r="BP10" s="25" t="str">
        <f>IFERROR(IF(Z10&gt;=0.65,1,(Z10*100%)/0.65),"-")</f>
        <v>-</v>
      </c>
      <c r="BQ10" s="25" t="str">
        <f>IFERROR(IF(AN10&gt;=0.65,1,(AN10*100%)/0.65),"-")</f>
        <v>-</v>
      </c>
      <c r="BR10" s="25" t="str">
        <f>IFERROR(IF(BB10&gt;=0.65,1,(BB10*100%)/0.65),"-")</f>
        <v>-</v>
      </c>
      <c r="BS10" s="25" t="str">
        <f>IFERROR(IF(BO10&gt;=0.65,1,(BO10*100%)/0.65),"-")</f>
        <v>-</v>
      </c>
      <c r="BT10" s="25" t="str">
        <f t="shared" ref="BT10" si="0">IFERROR(AVERAGE(BP10:BS10),"-")</f>
        <v>-</v>
      </c>
      <c r="BU10" s="26"/>
      <c r="BV10" s="29"/>
      <c r="BW10" s="27"/>
      <c r="BX10" s="26"/>
    </row>
    <row r="11" spans="1:76" ht="45.6" customHeight="1" thickBot="1" x14ac:dyDescent="0.25">
      <c r="A11" s="629" t="s">
        <v>293</v>
      </c>
      <c r="B11" s="630"/>
      <c r="C11" s="630"/>
      <c r="D11" s="630"/>
      <c r="E11" s="630"/>
      <c r="F11" s="630"/>
      <c r="G11" s="630"/>
      <c r="H11" s="630"/>
      <c r="I11" s="630"/>
      <c r="J11" s="338"/>
      <c r="K11" s="338"/>
      <c r="L11" s="453" t="s">
        <v>760</v>
      </c>
      <c r="M11" s="459" t="str">
        <f t="shared" ref="M11:W11" si="1">IFERROR(AVERAGE(M7:M10),"-")</f>
        <v>-</v>
      </c>
      <c r="N11" s="460" t="str">
        <f t="shared" si="1"/>
        <v>-</v>
      </c>
      <c r="O11" s="460" t="str">
        <f t="shared" si="1"/>
        <v>-</v>
      </c>
      <c r="P11" s="460" t="str">
        <f t="shared" si="1"/>
        <v>-</v>
      </c>
      <c r="Q11" s="460" t="str">
        <f t="shared" si="1"/>
        <v>-</v>
      </c>
      <c r="R11" s="460" t="str">
        <f t="shared" si="1"/>
        <v>-</v>
      </c>
      <c r="S11" s="460" t="str">
        <f t="shared" si="1"/>
        <v>-</v>
      </c>
      <c r="T11" s="460" t="str">
        <f t="shared" si="1"/>
        <v>-</v>
      </c>
      <c r="U11" s="460" t="str">
        <f t="shared" si="1"/>
        <v>-</v>
      </c>
      <c r="V11" s="460" t="str">
        <f t="shared" si="1"/>
        <v>-</v>
      </c>
      <c r="W11" s="460" t="str">
        <f t="shared" si="1"/>
        <v>-</v>
      </c>
      <c r="X11" s="353"/>
      <c r="Y11" s="350"/>
      <c r="Z11" s="619" t="str">
        <f t="shared" ref="Z11" si="2">IFERROR(AVERAGE(Z7:Z10),"-")</f>
        <v>-</v>
      </c>
      <c r="AA11" s="460" t="str">
        <f t="shared" ref="AA11:BT11" si="3">IFERROR(AVERAGE(AA7:AA10),"-")</f>
        <v>-</v>
      </c>
      <c r="AB11" s="460" t="str">
        <f t="shared" si="3"/>
        <v>-</v>
      </c>
      <c r="AC11" s="460" t="str">
        <f t="shared" si="3"/>
        <v>-</v>
      </c>
      <c r="AD11" s="460" t="str">
        <f t="shared" si="3"/>
        <v>-</v>
      </c>
      <c r="AE11" s="460" t="str">
        <f t="shared" si="3"/>
        <v>-</v>
      </c>
      <c r="AF11" s="460" t="str">
        <f t="shared" si="3"/>
        <v>-</v>
      </c>
      <c r="AG11" s="460" t="str">
        <f t="shared" si="3"/>
        <v>-</v>
      </c>
      <c r="AH11" s="460" t="str">
        <f t="shared" si="3"/>
        <v>-</v>
      </c>
      <c r="AI11" s="460" t="str">
        <f t="shared" si="3"/>
        <v>-</v>
      </c>
      <c r="AJ11" s="460" t="str">
        <f t="shared" si="3"/>
        <v>-</v>
      </c>
      <c r="AK11" s="460" t="str">
        <f t="shared" si="3"/>
        <v>-</v>
      </c>
      <c r="AL11" s="353"/>
      <c r="AM11" s="59"/>
      <c r="AN11" s="619" t="str">
        <f t="shared" si="3"/>
        <v>-</v>
      </c>
      <c r="AO11" s="375" t="str">
        <f t="shared" si="3"/>
        <v>-</v>
      </c>
      <c r="AP11" s="375" t="str">
        <f t="shared" si="3"/>
        <v>-</v>
      </c>
      <c r="AQ11" s="375" t="str">
        <f t="shared" si="3"/>
        <v>-</v>
      </c>
      <c r="AR11" s="375" t="str">
        <f t="shared" si="3"/>
        <v>-</v>
      </c>
      <c r="AS11" s="375" t="str">
        <f t="shared" si="3"/>
        <v>-</v>
      </c>
      <c r="AT11" s="375" t="str">
        <f t="shared" si="3"/>
        <v>-</v>
      </c>
      <c r="AU11" s="375" t="str">
        <f t="shared" si="3"/>
        <v>-</v>
      </c>
      <c r="AV11" s="375" t="str">
        <f t="shared" si="3"/>
        <v>-</v>
      </c>
      <c r="AW11" s="375" t="str">
        <f t="shared" si="3"/>
        <v>-</v>
      </c>
      <c r="AX11" s="375" t="str">
        <f t="shared" si="3"/>
        <v>-</v>
      </c>
      <c r="AY11" s="375" t="str">
        <f t="shared" si="3"/>
        <v>-</v>
      </c>
      <c r="AZ11" s="353"/>
      <c r="BA11" s="350"/>
      <c r="BB11" s="619" t="str">
        <f t="shared" si="3"/>
        <v>-</v>
      </c>
      <c r="BC11" s="56" t="str">
        <f t="shared" si="3"/>
        <v>-</v>
      </c>
      <c r="BD11" s="56" t="str">
        <f t="shared" si="3"/>
        <v>-</v>
      </c>
      <c r="BE11" s="56" t="str">
        <f t="shared" si="3"/>
        <v>-</v>
      </c>
      <c r="BF11" s="56" t="str">
        <f t="shared" si="3"/>
        <v>-</v>
      </c>
      <c r="BG11" s="56" t="str">
        <f>IFERROR(AVERAGE(BG7:BG10),"-")</f>
        <v>-</v>
      </c>
      <c r="BH11" s="56" t="str">
        <f t="shared" si="3"/>
        <v>-</v>
      </c>
      <c r="BI11" s="56" t="str">
        <f t="shared" si="3"/>
        <v>-</v>
      </c>
      <c r="BJ11" s="56" t="str">
        <f t="shared" si="3"/>
        <v>-</v>
      </c>
      <c r="BK11" s="56" t="str">
        <f>IFERROR(AVERAGE(BK7:BK10),"-")</f>
        <v>-</v>
      </c>
      <c r="BL11" s="56" t="str">
        <f t="shared" si="3"/>
        <v>-</v>
      </c>
      <c r="BM11" s="353"/>
      <c r="BN11" s="350"/>
      <c r="BO11" s="648" t="str">
        <f t="shared" si="3"/>
        <v>-</v>
      </c>
      <c r="BP11" s="56" t="str">
        <f t="shared" si="3"/>
        <v>-</v>
      </c>
      <c r="BQ11" s="56" t="str">
        <f t="shared" si="3"/>
        <v>-</v>
      </c>
      <c r="BR11" s="56" t="str">
        <f t="shared" si="3"/>
        <v>-</v>
      </c>
      <c r="BS11" s="56" t="str">
        <f t="shared" si="3"/>
        <v>-</v>
      </c>
      <c r="BT11" s="637" t="str">
        <f t="shared" si="3"/>
        <v>-</v>
      </c>
      <c r="BU11" s="26"/>
      <c r="BV11" s="30"/>
      <c r="BW11" s="27"/>
      <c r="BX11" s="26"/>
    </row>
    <row r="12" spans="1:76" ht="26.25" thickBot="1" x14ac:dyDescent="0.25">
      <c r="M12" s="352"/>
      <c r="N12" s="352"/>
      <c r="Y12" s="351" t="s">
        <v>795</v>
      </c>
      <c r="Z12" s="639"/>
      <c r="AA12" s="352"/>
      <c r="AB12" s="352"/>
      <c r="AM12" s="189" t="s">
        <v>295</v>
      </c>
      <c r="AN12" s="620"/>
      <c r="AO12" s="352"/>
      <c r="BA12" s="351" t="s">
        <v>296</v>
      </c>
      <c r="BB12" s="639"/>
      <c r="BN12" s="59" t="s">
        <v>297</v>
      </c>
      <c r="BO12" s="648"/>
      <c r="BS12" s="58" t="s">
        <v>294</v>
      </c>
      <c r="BT12" s="638"/>
    </row>
    <row r="15" spans="1:76" ht="30.75" customHeight="1" x14ac:dyDescent="0.25">
      <c r="E15" s="595" t="str">
        <f>+D7</f>
        <v>Programa  Gestión y minimización de los riesgos asociados a la atención en sa</v>
      </c>
      <c r="F15" s="589" t="s">
        <v>567</v>
      </c>
      <c r="G15" s="590"/>
      <c r="H15" s="590"/>
      <c r="I15" s="590"/>
      <c r="J15" s="591"/>
      <c r="K15" s="255" t="s">
        <v>558</v>
      </c>
      <c r="L15" s="273" t="s">
        <v>565</v>
      </c>
      <c r="M15" s="256" t="s">
        <v>563</v>
      </c>
      <c r="N15" s="256" t="s">
        <v>564</v>
      </c>
      <c r="O15" s="257" t="s">
        <v>562</v>
      </c>
      <c r="Z15" s="54"/>
      <c r="AA15" s="256" t="s">
        <v>563</v>
      </c>
      <c r="AB15" s="256" t="s">
        <v>780</v>
      </c>
      <c r="AC15" s="256" t="s">
        <v>564</v>
      </c>
      <c r="AD15" s="257" t="s">
        <v>562</v>
      </c>
      <c r="AO15" s="256" t="s">
        <v>563</v>
      </c>
      <c r="AP15" s="256" t="s">
        <v>780</v>
      </c>
      <c r="AQ15" s="256" t="s">
        <v>695</v>
      </c>
      <c r="AR15" s="256" t="s">
        <v>564</v>
      </c>
      <c r="AS15" s="257" t="s">
        <v>562</v>
      </c>
      <c r="AT15" s="374"/>
      <c r="BC15" s="256" t="s">
        <v>563</v>
      </c>
      <c r="BD15" s="256" t="s">
        <v>780</v>
      </c>
      <c r="BE15" s="256" t="s">
        <v>695</v>
      </c>
      <c r="BF15" s="256" t="s">
        <v>699</v>
      </c>
      <c r="BG15" s="256" t="s">
        <v>564</v>
      </c>
      <c r="BH15" s="257" t="s">
        <v>562</v>
      </c>
    </row>
    <row r="16" spans="1:76" ht="15" x14ac:dyDescent="0.25">
      <c r="E16" s="596"/>
      <c r="F16" s="343" t="str">
        <f>+G7</f>
        <v>Proporción de vigilancia de eventos adversos</v>
      </c>
      <c r="G16" s="341"/>
      <c r="H16" s="341"/>
      <c r="I16" s="341"/>
      <c r="J16" s="342"/>
      <c r="K16" s="259" t="str">
        <f>+I7</f>
        <v> &gt;90%</v>
      </c>
      <c r="L16" s="616">
        <f>+F7</f>
        <v>0.75</v>
      </c>
      <c r="M16" s="259" t="e">
        <f>+Z7</f>
        <v>#DIV/0!</v>
      </c>
      <c r="N16" s="259" t="str">
        <f>IFERROR(IF(M16&gt;=0.8,1,(M16*100%)/0.8),"-")</f>
        <v>-</v>
      </c>
      <c r="O16" s="588" t="str">
        <f>IFERROR(+N20,"-")</f>
        <v>-</v>
      </c>
      <c r="Z16" s="54"/>
      <c r="AA16" s="259" t="e">
        <f>+AN7</f>
        <v>#DIV/0!</v>
      </c>
      <c r="AB16" s="259" t="e">
        <f>+M16</f>
        <v>#DIV/0!</v>
      </c>
      <c r="AC16" s="259" t="str">
        <f>IFERROR(IF(AA16&gt;=0.8,1,(AA16*100%)/0.8),"-")</f>
        <v>-</v>
      </c>
      <c r="AD16" s="588" t="str">
        <f>IFERROR(+AC20,"-")</f>
        <v>-</v>
      </c>
      <c r="AO16" s="259" t="e">
        <f>+BB7</f>
        <v>#DIV/0!</v>
      </c>
      <c r="AP16" s="259" t="e">
        <f>+M16</f>
        <v>#DIV/0!</v>
      </c>
      <c r="AQ16" s="259" t="e">
        <f>+AA16</f>
        <v>#DIV/0!</v>
      </c>
      <c r="AR16" s="259" t="str">
        <f>IFERROR(IF(AVERAGE(AO16,AQ16)&gt;=0.8,1,(AVERAGE(AO16,AQ16)*100%)/0.8),"-")</f>
        <v>-</v>
      </c>
      <c r="AS16" s="623" t="str">
        <f>IFERROR(+AO20,"-")</f>
        <v>-</v>
      </c>
      <c r="AT16" s="649"/>
      <c r="BC16" s="259" t="e">
        <f>+BO7</f>
        <v>#DIV/0!</v>
      </c>
      <c r="BD16" s="259" t="e">
        <f>+M16</f>
        <v>#DIV/0!</v>
      </c>
      <c r="BE16" s="259" t="e">
        <f>+AA16</f>
        <v>#DIV/0!</v>
      </c>
      <c r="BF16" s="259" t="e">
        <f>+AO16</f>
        <v>#DIV/0!</v>
      </c>
      <c r="BG16" s="259" t="str">
        <f>IFERROR(IF(AVERAGE(BC16,BF16)&gt;=0.8,1,(AVERAGE(BC16:BF16)*100%)/0.8),"-")</f>
        <v>-</v>
      </c>
      <c r="BH16" s="623" t="e">
        <f>+BC20</f>
        <v>#DIV/0!</v>
      </c>
    </row>
    <row r="17" spans="5:60" ht="15" x14ac:dyDescent="0.25">
      <c r="E17" s="596"/>
      <c r="F17" s="343" t="str">
        <f>+G8</f>
        <v>Promedio de la calificación de adherencia a las buenas prácticas de seguridad del paciente</v>
      </c>
      <c r="G17" s="341"/>
      <c r="H17" s="341"/>
      <c r="I17" s="341"/>
      <c r="J17" s="342"/>
      <c r="K17" s="259" t="str">
        <f>+I8</f>
        <v>&gt;=80%</v>
      </c>
      <c r="L17" s="617"/>
      <c r="M17" s="259" t="e">
        <f>+Z8</f>
        <v>#DIV/0!</v>
      </c>
      <c r="N17" s="259" t="str">
        <f>IFERROR(IF(M17&gt;=0.8,1,(M17*100%)/0.8),"-")</f>
        <v>-</v>
      </c>
      <c r="O17" s="588"/>
      <c r="Z17" s="54"/>
      <c r="AA17" s="259" t="e">
        <f>+AN8</f>
        <v>#DIV/0!</v>
      </c>
      <c r="AB17" s="259" t="e">
        <f>+M17</f>
        <v>#DIV/0!</v>
      </c>
      <c r="AC17" s="259" t="str">
        <f>IFERROR(IF(AA17&gt;=0.8,1,(AA17*100%)/0.8),"-")</f>
        <v>-</v>
      </c>
      <c r="AD17" s="588"/>
      <c r="AO17" s="259" t="e">
        <f>+BB8</f>
        <v>#DIV/0!</v>
      </c>
      <c r="AP17" s="259" t="e">
        <f>+M17</f>
        <v>#DIV/0!</v>
      </c>
      <c r="AQ17" s="259" t="e">
        <f>+AA17</f>
        <v>#DIV/0!</v>
      </c>
      <c r="AR17" s="259" t="str">
        <f>IFERROR(IF(AVERAGE(AO17,AQ17)&gt;=0.8,1,(AVERAGE(AO17,AQ17)*100%)/0.8),"-")</f>
        <v>-</v>
      </c>
      <c r="AS17" s="623"/>
      <c r="AT17" s="650"/>
      <c r="BC17" s="259" t="e">
        <f>+BO8</f>
        <v>#DIV/0!</v>
      </c>
      <c r="BD17" s="259" t="e">
        <f>+M17</f>
        <v>#DIV/0!</v>
      </c>
      <c r="BE17" s="259" t="e">
        <f>+AA17</f>
        <v>#DIV/0!</v>
      </c>
      <c r="BF17" s="259" t="e">
        <f>+AO17</f>
        <v>#DIV/0!</v>
      </c>
      <c r="BG17" s="259" t="str">
        <f>IFERROR(IF(AVERAGE(BC17,BF17)&gt;=0.8,1,(AVERAGE(BC17:BF17)*100%)/0.8),"-")</f>
        <v>-</v>
      </c>
      <c r="BH17" s="623"/>
    </row>
    <row r="18" spans="5:60" ht="15" x14ac:dyDescent="0.25">
      <c r="E18" s="596"/>
      <c r="F18" s="343" t="str">
        <f>+G9</f>
        <v xml:space="preserve">Promedio de la calificación de la implementación de las buenas practicas de seguridad del paciente priorizadas </v>
      </c>
      <c r="G18" s="341"/>
      <c r="H18" s="341"/>
      <c r="I18" s="341"/>
      <c r="J18" s="342"/>
      <c r="K18" s="259" t="str">
        <f>+I9</f>
        <v>&gt;=80%</v>
      </c>
      <c r="L18" s="617"/>
      <c r="M18" s="259" t="e">
        <f>+Z9</f>
        <v>#DIV/0!</v>
      </c>
      <c r="N18" s="259" t="str">
        <f>IFERROR(IF(M18&gt;=0.8,1,(M18*100%)/0.8),"-")</f>
        <v>-</v>
      </c>
      <c r="O18" s="588"/>
      <c r="Z18" s="54"/>
      <c r="AA18" s="259" t="e">
        <f>+AN9</f>
        <v>#DIV/0!</v>
      </c>
      <c r="AB18" s="259" t="e">
        <f>+M18</f>
        <v>#DIV/0!</v>
      </c>
      <c r="AC18" s="259" t="str">
        <f>IFERROR(IF(AA18&gt;=0.8,1,(AA18*100%)/0.8),"-")</f>
        <v>-</v>
      </c>
      <c r="AD18" s="588"/>
      <c r="AO18" s="259" t="e">
        <f>+BB9</f>
        <v>#DIV/0!</v>
      </c>
      <c r="AP18" s="259" t="e">
        <f>+M18</f>
        <v>#DIV/0!</v>
      </c>
      <c r="AQ18" s="259" t="e">
        <f>+AA18</f>
        <v>#DIV/0!</v>
      </c>
      <c r="AR18" s="259" t="str">
        <f>IFERROR(IF(AVERAGE(AO18,AQ18)&gt;=0.8,1,(AVERAGE(AO18,AQ18)*100%)/0.8),"-")</f>
        <v>-</v>
      </c>
      <c r="AS18" s="623"/>
      <c r="AT18" s="650"/>
      <c r="BC18" s="259" t="e">
        <f>+BO9</f>
        <v>#DIV/0!</v>
      </c>
      <c r="BD18" s="259" t="e">
        <f>+M18</f>
        <v>#DIV/0!</v>
      </c>
      <c r="BE18" s="259" t="e">
        <f>+AA18</f>
        <v>#DIV/0!</v>
      </c>
      <c r="BF18" s="259" t="e">
        <f>+AO18</f>
        <v>#DIV/0!</v>
      </c>
      <c r="BG18" s="259" t="str">
        <f>IFERROR(IF(AVERAGE(BC18,BF18)&gt;=0.8,1,(AVERAGE(BC18:BF18)*100%)/0.8),"-")</f>
        <v>-</v>
      </c>
      <c r="BH18" s="623"/>
    </row>
    <row r="19" spans="5:60" ht="15" x14ac:dyDescent="0.25">
      <c r="E19" s="597"/>
      <c r="F19" s="343" t="str">
        <f>+G10</f>
        <v>Gestión del riesgo extremo y alto en seguridad del paciente</v>
      </c>
      <c r="G19" s="341"/>
      <c r="H19" s="341"/>
      <c r="I19" s="341"/>
      <c r="J19" s="342"/>
      <c r="K19" s="259" t="str">
        <f>+I10</f>
        <v>&gt;=65%</v>
      </c>
      <c r="L19" s="618"/>
      <c r="M19" s="259" t="e">
        <f>+Z10</f>
        <v>#DIV/0!</v>
      </c>
      <c r="N19" s="259" t="str">
        <f>IFERROR(IF(M19&gt;=0.4,1,(M19*100%)/0.4),"-")</f>
        <v>-</v>
      </c>
      <c r="O19" s="588"/>
      <c r="Z19" s="54"/>
      <c r="AA19" s="259" t="e">
        <f>+AN10</f>
        <v>#DIV/0!</v>
      </c>
      <c r="AB19" s="259" t="e">
        <f>+M19</f>
        <v>#DIV/0!</v>
      </c>
      <c r="AC19" s="259" t="str">
        <f>IFERROR(IF(AA19&gt;=0.4,1,(AA19*100%)/0.4),"-")</f>
        <v>-</v>
      </c>
      <c r="AD19" s="588"/>
      <c r="AO19" s="259" t="e">
        <f>+BB10</f>
        <v>#DIV/0!</v>
      </c>
      <c r="AP19" s="259" t="e">
        <f>+M19</f>
        <v>#DIV/0!</v>
      </c>
      <c r="AQ19" s="259" t="e">
        <f>+AA19</f>
        <v>#DIV/0!</v>
      </c>
      <c r="AR19" s="259" t="str">
        <f>IFERROR(IF(AVERAGE(AO19,AQ19)&gt;=0.4,1,(AVERAGE(AO19,AQ19)*100%)/0.4),"-")</f>
        <v>-</v>
      </c>
      <c r="AS19" s="623"/>
      <c r="AT19" s="650"/>
      <c r="BC19" s="259" t="e">
        <f>+BO10</f>
        <v>#DIV/0!</v>
      </c>
      <c r="BD19" s="259" t="e">
        <f>+M19</f>
        <v>#DIV/0!</v>
      </c>
      <c r="BE19" s="259" t="e">
        <f>+AA19</f>
        <v>#DIV/0!</v>
      </c>
      <c r="BF19" s="259" t="e">
        <f>+AO19</f>
        <v>#DIV/0!</v>
      </c>
      <c r="BG19" s="259" t="str">
        <f>IFERROR(IF(AVERAGE(BC19,BF19)&gt;=0.8,1,(AVERAGE(BC19:BF19)*100%)/0.8),"-")</f>
        <v>-</v>
      </c>
      <c r="BH19" s="623"/>
    </row>
    <row r="20" spans="5:60" ht="15" x14ac:dyDescent="0.25">
      <c r="F20" s="28"/>
      <c r="H20" s="28"/>
      <c r="K20" s="54"/>
      <c r="L20" s="54"/>
      <c r="M20" s="36"/>
      <c r="N20" s="258" t="e">
        <f>+AVERAGE(M16:M19)</f>
        <v>#DIV/0!</v>
      </c>
      <c r="O20" s="252"/>
      <c r="AA20" s="36"/>
      <c r="AB20" s="36"/>
      <c r="AC20" s="258" t="e">
        <f>+AVERAGE(AA16:AA19)</f>
        <v>#DIV/0!</v>
      </c>
      <c r="AD20" s="252"/>
      <c r="AO20" s="258" t="e">
        <f>+AVERAGE(AO16:AO19)</f>
        <v>#DIV/0!</v>
      </c>
      <c r="AP20" s="373"/>
      <c r="AQ20" s="36"/>
      <c r="AS20" s="252"/>
      <c r="BC20" s="258" t="e">
        <f>+AVERAGE(BC16:BC19)</f>
        <v>#DIV/0!</v>
      </c>
      <c r="BD20" s="373"/>
      <c r="BE20" s="36"/>
      <c r="BF20" s="36"/>
      <c r="BG20" s="258" t="e">
        <f>+AVERAGE(BG16:BG19)</f>
        <v>#DIV/0!</v>
      </c>
      <c r="BH20" s="252"/>
    </row>
    <row r="22" spans="5:60" x14ac:dyDescent="0.2">
      <c r="BC22" s="28"/>
    </row>
  </sheetData>
  <mergeCells count="53">
    <mergeCell ref="F15:J15"/>
    <mergeCell ref="AT16:AT19"/>
    <mergeCell ref="AL5:AL6"/>
    <mergeCell ref="AM5:AM6"/>
    <mergeCell ref="E15:E19"/>
    <mergeCell ref="L16:L19"/>
    <mergeCell ref="AS16:AS19"/>
    <mergeCell ref="AD16:AD19"/>
    <mergeCell ref="O16:O19"/>
    <mergeCell ref="BH16:BH19"/>
    <mergeCell ref="BM5:BM6"/>
    <mergeCell ref="BN5:BN6"/>
    <mergeCell ref="BO5:BO6"/>
    <mergeCell ref="BA5:BA6"/>
    <mergeCell ref="BO11:BO12"/>
    <mergeCell ref="BV1:BX2"/>
    <mergeCell ref="A2:B3"/>
    <mergeCell ref="C2:BU3"/>
    <mergeCell ref="BV3:BX3"/>
    <mergeCell ref="BU5:BX5"/>
    <mergeCell ref="L5:L6"/>
    <mergeCell ref="A4:D4"/>
    <mergeCell ref="A5:A6"/>
    <mergeCell ref="B5:B6"/>
    <mergeCell ref="C5:C6"/>
    <mergeCell ref="D5:D6"/>
    <mergeCell ref="E5:E6"/>
    <mergeCell ref="F5:F6"/>
    <mergeCell ref="G5:G6"/>
    <mergeCell ref="H5:H6"/>
    <mergeCell ref="I5:I6"/>
    <mergeCell ref="A1:B1"/>
    <mergeCell ref="C1:BU1"/>
    <mergeCell ref="J5:J6"/>
    <mergeCell ref="K5:K6"/>
    <mergeCell ref="AN5:AN6"/>
    <mergeCell ref="BB5:BB6"/>
    <mergeCell ref="BP5:BT5"/>
    <mergeCell ref="AZ5:AZ6"/>
    <mergeCell ref="X5:X6"/>
    <mergeCell ref="Y5:Y6"/>
    <mergeCell ref="Z5:Z6"/>
    <mergeCell ref="BT11:BT12"/>
    <mergeCell ref="F7:F10"/>
    <mergeCell ref="A11:I11"/>
    <mergeCell ref="AN11:AN12"/>
    <mergeCell ref="BB11:BB12"/>
    <mergeCell ref="A7:A10"/>
    <mergeCell ref="B7:B10"/>
    <mergeCell ref="C7:C10"/>
    <mergeCell ref="D7:D10"/>
    <mergeCell ref="E7:E10"/>
    <mergeCell ref="Z11:Z12"/>
  </mergeCells>
  <conditionalFormatting sqref="BP7:BT10 BT11">
    <cfRule type="cellIs" dxfId="59" priority="1" operator="lessThan">
      <formula>0.6</formula>
    </cfRule>
    <cfRule type="cellIs" dxfId="58" priority="2" operator="between">
      <formula>60%</formula>
      <formula>79%</formula>
    </cfRule>
    <cfRule type="cellIs" dxfId="57" priority="3" operator="between">
      <formula>80%</formula>
      <formula>100%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1:DQ36"/>
  <sheetViews>
    <sheetView topLeftCell="D1" zoomScale="60" zoomScaleNormal="60" workbookViewId="0">
      <selection activeCell="AD4" sqref="AD1:AD1048576"/>
    </sheetView>
  </sheetViews>
  <sheetFormatPr baseColWidth="10" defaultRowHeight="15" x14ac:dyDescent="0.25"/>
  <cols>
    <col min="1" max="1" width="21.42578125" style="28" customWidth="1"/>
    <col min="2" max="2" width="29.140625" style="28" customWidth="1"/>
    <col min="3" max="3" width="38.7109375" style="28" customWidth="1"/>
    <col min="4" max="4" width="31" style="28" customWidth="1"/>
    <col min="5" max="5" width="20.7109375" style="28" customWidth="1"/>
    <col min="6" max="6" width="14.42578125" style="36" customWidth="1"/>
    <col min="7" max="7" width="16.85546875" style="28" customWidth="1"/>
    <col min="8" max="8" width="25.28515625" style="28" customWidth="1"/>
    <col min="9" max="9" width="16.5703125" style="28" customWidth="1"/>
    <col min="10" max="10" width="18.5703125" style="28" customWidth="1"/>
    <col min="11" max="11" width="16.5703125" style="28" customWidth="1"/>
    <col min="12" max="12" width="19.42578125" style="28" customWidth="1"/>
    <col min="13" max="13" width="19.42578125" style="54" hidden="1" customWidth="1"/>
    <col min="14" max="14" width="19.42578125" style="28" hidden="1" customWidth="1"/>
    <col min="15" max="15" width="17.85546875" style="28" hidden="1" customWidth="1"/>
    <col min="16" max="16" width="18.140625" style="28" hidden="1" customWidth="1"/>
    <col min="17" max="30" width="20.42578125" style="28" hidden="1" customWidth="1"/>
    <col min="31" max="32" width="20.42578125" style="28" customWidth="1"/>
    <col min="33" max="33" width="24.7109375" style="28" customWidth="1"/>
    <col min="34" max="34" width="27.28515625" style="28" customWidth="1"/>
    <col min="35" max="35" width="20.42578125" style="28" customWidth="1"/>
    <col min="36" max="36" width="19.42578125" style="54" hidden="1" customWidth="1"/>
    <col min="37" max="37" width="19.42578125" style="28" hidden="1" customWidth="1"/>
    <col min="38" max="38" width="17.85546875" style="28" hidden="1" customWidth="1"/>
    <col min="39" max="39" width="18.140625" style="28" hidden="1" customWidth="1"/>
    <col min="40" max="55" width="20.42578125" style="28" hidden="1" customWidth="1"/>
    <col min="56" max="56" width="24.7109375" style="28" hidden="1" customWidth="1"/>
    <col min="57" max="57" width="27.28515625" style="28" hidden="1" customWidth="1"/>
    <col min="58" max="63" width="20.42578125" style="28" hidden="1" customWidth="1"/>
    <col min="64" max="65" width="21.85546875" hidden="1" customWidth="1"/>
    <col min="66" max="66" width="22.140625" style="28" hidden="1" customWidth="1"/>
    <col min="67" max="67" width="19.42578125" style="54" hidden="1" customWidth="1"/>
    <col min="68" max="68" width="19.42578125" style="28" hidden="1" customWidth="1"/>
    <col min="69" max="69" width="20.7109375" style="28" hidden="1" customWidth="1"/>
    <col min="70" max="73" width="20.28515625" style="28" hidden="1" customWidth="1"/>
    <col min="74" max="76" width="19.5703125" style="28" hidden="1" customWidth="1"/>
    <col min="77" max="81" width="20.42578125" style="28" hidden="1" customWidth="1"/>
    <col min="82" max="82" width="19.42578125" style="54" hidden="1" customWidth="1"/>
    <col min="83" max="83" width="19.42578125" style="28" hidden="1" customWidth="1"/>
    <col min="84" max="84" width="17.85546875" style="28" hidden="1" customWidth="1"/>
    <col min="85" max="85" width="18.140625" style="28" hidden="1" customWidth="1"/>
    <col min="86" max="95" width="20.42578125" style="28" hidden="1" customWidth="1"/>
    <col min="96" max="100" width="19.42578125" style="28" hidden="1" customWidth="1"/>
    <col min="101" max="101" width="17.85546875" style="28" hidden="1" customWidth="1"/>
    <col min="102" max="104" width="20.42578125" style="28" hidden="1" customWidth="1"/>
    <col min="105" max="114" width="20.42578125" style="28" customWidth="1"/>
    <col min="115" max="115" width="31.85546875" customWidth="1"/>
    <col min="116" max="116" width="21.85546875" customWidth="1"/>
    <col min="117" max="117" width="22.140625" style="28" customWidth="1"/>
    <col min="118" max="118" width="17.7109375" style="28" customWidth="1"/>
    <col min="119" max="119" width="17.85546875" style="28" customWidth="1"/>
    <col min="120" max="120" width="19.140625" style="28" customWidth="1"/>
    <col min="121" max="121" width="18.7109375" style="28" customWidth="1"/>
    <col min="122" max="122" width="21" style="28" customWidth="1"/>
    <col min="123" max="123" width="26.5703125" style="28" customWidth="1"/>
    <col min="124" max="124" width="24.5703125" style="28" customWidth="1"/>
    <col min="125" max="125" width="28.140625" style="28" customWidth="1"/>
    <col min="126" max="126" width="27.85546875" style="28" customWidth="1"/>
    <col min="127" max="127" width="11.42578125" style="28"/>
    <col min="128" max="128" width="11.42578125" style="28" customWidth="1"/>
    <col min="129" max="16384" width="11.42578125" style="28"/>
  </cols>
  <sheetData>
    <row r="1" spans="1:117" ht="75.75" customHeight="1" x14ac:dyDescent="0.2">
      <c r="A1" s="568" t="s">
        <v>192</v>
      </c>
      <c r="B1" s="568"/>
      <c r="C1" s="657" t="s">
        <v>0</v>
      </c>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9"/>
      <c r="DG1" s="577"/>
      <c r="DH1" s="577"/>
      <c r="DI1" s="577"/>
      <c r="DK1" s="28"/>
      <c r="DL1" s="28"/>
    </row>
    <row r="2" spans="1:117" ht="41.25" customHeight="1" x14ac:dyDescent="0.2">
      <c r="A2" s="568" t="s">
        <v>719</v>
      </c>
      <c r="B2" s="568"/>
      <c r="C2" s="521" t="s">
        <v>342</v>
      </c>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c r="BG2" s="522"/>
      <c r="BH2" s="522"/>
      <c r="BI2" s="522"/>
      <c r="BJ2" s="522"/>
      <c r="BK2" s="522"/>
      <c r="BL2" s="522"/>
      <c r="BM2" s="522"/>
      <c r="BN2" s="522"/>
      <c r="BO2" s="522"/>
      <c r="BP2" s="522"/>
      <c r="BQ2" s="522"/>
      <c r="BR2" s="522"/>
      <c r="BS2" s="522"/>
      <c r="BT2" s="522"/>
      <c r="BU2" s="522"/>
      <c r="BV2" s="522"/>
      <c r="BW2" s="522"/>
      <c r="BX2" s="522"/>
      <c r="BY2" s="522"/>
      <c r="BZ2" s="522"/>
      <c r="CA2" s="522"/>
      <c r="CB2" s="522"/>
      <c r="CC2" s="522"/>
      <c r="CD2" s="522"/>
      <c r="CE2" s="522"/>
      <c r="CF2" s="522"/>
      <c r="CG2" s="522"/>
      <c r="CH2" s="522"/>
      <c r="CI2" s="522"/>
      <c r="CJ2" s="522"/>
      <c r="CK2" s="522"/>
      <c r="CL2" s="522"/>
      <c r="CM2" s="522"/>
      <c r="CN2" s="522"/>
      <c r="CO2" s="522"/>
      <c r="CP2" s="522"/>
      <c r="CQ2" s="522"/>
      <c r="CR2" s="522"/>
      <c r="CS2" s="522"/>
      <c r="CT2" s="522"/>
      <c r="CU2" s="522"/>
      <c r="CV2" s="522"/>
      <c r="CW2" s="522"/>
      <c r="CX2" s="522"/>
      <c r="CY2" s="522"/>
      <c r="CZ2" s="522"/>
      <c r="DA2" s="522"/>
      <c r="DB2" s="522"/>
      <c r="DC2" s="522"/>
      <c r="DD2" s="522"/>
      <c r="DE2" s="522"/>
      <c r="DF2" s="660"/>
      <c r="DG2" s="577"/>
      <c r="DH2" s="577"/>
      <c r="DI2" s="577"/>
      <c r="DK2" s="28"/>
      <c r="DL2" s="28"/>
    </row>
    <row r="3" spans="1:117" ht="41.25" customHeight="1" x14ac:dyDescent="0.2">
      <c r="A3" s="568"/>
      <c r="B3" s="568"/>
      <c r="C3" s="661"/>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3"/>
      <c r="DG3" s="578" t="s">
        <v>718</v>
      </c>
      <c r="DH3" s="578"/>
      <c r="DI3" s="578"/>
      <c r="DK3" s="28"/>
      <c r="DL3" s="28"/>
    </row>
    <row r="4" spans="1:117" ht="32.25" customHeight="1" thickBot="1" x14ac:dyDescent="0.25">
      <c r="A4" s="572" t="s">
        <v>193</v>
      </c>
      <c r="B4" s="572"/>
      <c r="C4" s="572"/>
      <c r="D4" s="572"/>
      <c r="BL4" s="28"/>
      <c r="BM4" s="28"/>
      <c r="DK4" s="28"/>
      <c r="DL4" s="28"/>
    </row>
    <row r="5" spans="1:117" ht="57" customHeight="1" x14ac:dyDescent="0.2">
      <c r="A5" s="583" t="s">
        <v>1</v>
      </c>
      <c r="B5" s="575" t="s">
        <v>3</v>
      </c>
      <c r="C5" s="575" t="s">
        <v>194</v>
      </c>
      <c r="D5" s="575" t="s">
        <v>195</v>
      </c>
      <c r="E5" s="575" t="s">
        <v>196</v>
      </c>
      <c r="F5" s="581" t="s">
        <v>781</v>
      </c>
      <c r="G5" s="575" t="s">
        <v>228</v>
      </c>
      <c r="H5" s="575" t="s">
        <v>227</v>
      </c>
      <c r="I5" s="575" t="s">
        <v>8</v>
      </c>
      <c r="J5" s="575" t="s">
        <v>481</v>
      </c>
      <c r="K5" s="575" t="s">
        <v>501</v>
      </c>
      <c r="L5" s="579" t="s">
        <v>9</v>
      </c>
      <c r="M5" s="301" t="s">
        <v>59</v>
      </c>
      <c r="N5" s="301" t="s">
        <v>60</v>
      </c>
      <c r="O5" s="301" t="s">
        <v>61</v>
      </c>
      <c r="P5" s="301" t="s">
        <v>62</v>
      </c>
      <c r="Q5" s="301" t="s">
        <v>63</v>
      </c>
      <c r="R5" s="301" t="s">
        <v>64</v>
      </c>
      <c r="S5" s="301" t="s">
        <v>65</v>
      </c>
      <c r="T5" s="301" t="s">
        <v>66</v>
      </c>
      <c r="U5" s="301" t="s">
        <v>67</v>
      </c>
      <c r="V5" s="301" t="s">
        <v>68</v>
      </c>
      <c r="W5" s="301" t="s">
        <v>69</v>
      </c>
      <c r="X5" s="301" t="s">
        <v>71</v>
      </c>
      <c r="Y5" s="301" t="s">
        <v>72</v>
      </c>
      <c r="Z5" s="301" t="s">
        <v>73</v>
      </c>
      <c r="AA5" s="301" t="s">
        <v>774</v>
      </c>
      <c r="AB5" s="301" t="s">
        <v>724</v>
      </c>
      <c r="AC5" s="301" t="s">
        <v>725</v>
      </c>
      <c r="AD5" s="301" t="s">
        <v>727</v>
      </c>
      <c r="AE5" s="354" t="s">
        <v>726</v>
      </c>
      <c r="AF5" s="354" t="s">
        <v>791</v>
      </c>
      <c r="AG5" s="655" t="s">
        <v>414</v>
      </c>
      <c r="AH5" s="573" t="s">
        <v>416</v>
      </c>
      <c r="AI5" s="563" t="s">
        <v>776</v>
      </c>
      <c r="AJ5" s="466" t="s">
        <v>59</v>
      </c>
      <c r="AK5" s="301" t="s">
        <v>60</v>
      </c>
      <c r="AL5" s="301" t="s">
        <v>61</v>
      </c>
      <c r="AM5" s="301" t="s">
        <v>62</v>
      </c>
      <c r="AN5" s="301" t="s">
        <v>63</v>
      </c>
      <c r="AO5" s="301" t="s">
        <v>64</v>
      </c>
      <c r="AP5" s="301" t="s">
        <v>65</v>
      </c>
      <c r="AQ5" s="301" t="s">
        <v>66</v>
      </c>
      <c r="AR5" s="301" t="s">
        <v>67</v>
      </c>
      <c r="AS5" s="301" t="s">
        <v>68</v>
      </c>
      <c r="AT5" s="301" t="s">
        <v>69</v>
      </c>
      <c r="AU5" s="301" t="s">
        <v>71</v>
      </c>
      <c r="AV5" s="301" t="s">
        <v>72</v>
      </c>
      <c r="AW5" s="301" t="s">
        <v>73</v>
      </c>
      <c r="AX5" s="301" t="s">
        <v>774</v>
      </c>
      <c r="AY5" s="301" t="s">
        <v>724</v>
      </c>
      <c r="AZ5" s="301" t="s">
        <v>725</v>
      </c>
      <c r="BA5" s="301" t="s">
        <v>727</v>
      </c>
      <c r="BB5" s="301" t="s">
        <v>726</v>
      </c>
      <c r="BC5" s="301" t="s">
        <v>791</v>
      </c>
      <c r="BD5" s="655" t="s">
        <v>414</v>
      </c>
      <c r="BE5" s="573" t="s">
        <v>416</v>
      </c>
      <c r="BF5" s="563" t="s">
        <v>474</v>
      </c>
      <c r="BG5" s="469" t="s">
        <v>59</v>
      </c>
      <c r="BH5" s="354" t="s">
        <v>60</v>
      </c>
      <c r="BI5" s="354" t="s">
        <v>61</v>
      </c>
      <c r="BJ5" s="354" t="s">
        <v>62</v>
      </c>
      <c r="BK5" s="354" t="s">
        <v>63</v>
      </c>
      <c r="BL5" s="354" t="s">
        <v>64</v>
      </c>
      <c r="BM5" s="354" t="s">
        <v>65</v>
      </c>
      <c r="BN5" s="354" t="s">
        <v>66</v>
      </c>
      <c r="BO5" s="354" t="s">
        <v>67</v>
      </c>
      <c r="BP5" s="354" t="s">
        <v>68</v>
      </c>
      <c r="BQ5" s="354" t="s">
        <v>69</v>
      </c>
      <c r="BR5" s="354" t="s">
        <v>71</v>
      </c>
      <c r="BS5" s="354" t="s">
        <v>72</v>
      </c>
      <c r="BT5" s="354" t="s">
        <v>73</v>
      </c>
      <c r="BU5" s="354" t="s">
        <v>774</v>
      </c>
      <c r="BV5" s="354" t="s">
        <v>724</v>
      </c>
      <c r="BW5" s="354" t="s">
        <v>725</v>
      </c>
      <c r="BX5" s="354" t="s">
        <v>727</v>
      </c>
      <c r="BY5" s="354" t="s">
        <v>726</v>
      </c>
      <c r="BZ5" s="354" t="s">
        <v>791</v>
      </c>
      <c r="CA5" s="655" t="s">
        <v>414</v>
      </c>
      <c r="CB5" s="573" t="s">
        <v>416</v>
      </c>
      <c r="CC5" s="563" t="s">
        <v>477</v>
      </c>
      <c r="CD5" s="466" t="s">
        <v>59</v>
      </c>
      <c r="CE5" s="301" t="s">
        <v>60</v>
      </c>
      <c r="CF5" s="301" t="s">
        <v>61</v>
      </c>
      <c r="CG5" s="301" t="s">
        <v>62</v>
      </c>
      <c r="CH5" s="301" t="s">
        <v>63</v>
      </c>
      <c r="CI5" s="301" t="s">
        <v>64</v>
      </c>
      <c r="CJ5" s="301" t="s">
        <v>65</v>
      </c>
      <c r="CK5" s="301" t="s">
        <v>66</v>
      </c>
      <c r="CL5" s="301" t="s">
        <v>67</v>
      </c>
      <c r="CM5" s="301" t="s">
        <v>68</v>
      </c>
      <c r="CN5" s="301" t="s">
        <v>69</v>
      </c>
      <c r="CO5" s="301" t="s">
        <v>71</v>
      </c>
      <c r="CP5" s="301" t="s">
        <v>72</v>
      </c>
      <c r="CQ5" s="301" t="s">
        <v>73</v>
      </c>
      <c r="CR5" s="301" t="s">
        <v>774</v>
      </c>
      <c r="CS5" s="301" t="s">
        <v>724</v>
      </c>
      <c r="CT5" s="301" t="s">
        <v>725</v>
      </c>
      <c r="CU5" s="301" t="s">
        <v>727</v>
      </c>
      <c r="CV5" s="301" t="s">
        <v>726</v>
      </c>
      <c r="CW5" s="301" t="s">
        <v>727</v>
      </c>
      <c r="CX5" s="655" t="s">
        <v>414</v>
      </c>
      <c r="CY5" s="573" t="s">
        <v>416</v>
      </c>
      <c r="CZ5" s="563" t="s">
        <v>479</v>
      </c>
      <c r="DA5" s="640" t="s">
        <v>11</v>
      </c>
      <c r="DB5" s="641"/>
      <c r="DC5" s="641"/>
      <c r="DD5" s="641"/>
      <c r="DE5" s="642"/>
      <c r="DF5" s="643" t="s">
        <v>539</v>
      </c>
      <c r="DG5" s="644"/>
      <c r="DH5" s="644"/>
      <c r="DI5" s="645"/>
      <c r="DK5" s="28"/>
      <c r="DL5" s="28"/>
    </row>
    <row r="6" spans="1:117" ht="63" customHeight="1" x14ac:dyDescent="0.2">
      <c r="A6" s="584"/>
      <c r="B6" s="514"/>
      <c r="C6" s="514"/>
      <c r="D6" s="514"/>
      <c r="E6" s="514"/>
      <c r="F6" s="582"/>
      <c r="G6" s="514"/>
      <c r="H6" s="514"/>
      <c r="I6" s="514"/>
      <c r="J6" s="514"/>
      <c r="K6" s="514"/>
      <c r="L6" s="580"/>
      <c r="M6" s="220" t="s">
        <v>775</v>
      </c>
      <c r="N6" s="4" t="s">
        <v>775</v>
      </c>
      <c r="O6" s="4" t="s">
        <v>775</v>
      </c>
      <c r="P6" s="4" t="s">
        <v>775</v>
      </c>
      <c r="Q6" s="4" t="s">
        <v>775</v>
      </c>
      <c r="R6" s="4" t="s">
        <v>775</v>
      </c>
      <c r="S6" s="4" t="s">
        <v>775</v>
      </c>
      <c r="T6" s="4" t="s">
        <v>775</v>
      </c>
      <c r="U6" s="4" t="s">
        <v>775</v>
      </c>
      <c r="V6" s="4" t="s">
        <v>775</v>
      </c>
      <c r="W6" s="4" t="s">
        <v>775</v>
      </c>
      <c r="X6" s="4" t="s">
        <v>775</v>
      </c>
      <c r="Y6" s="4" t="s">
        <v>775</v>
      </c>
      <c r="Z6" s="4" t="s">
        <v>775</v>
      </c>
      <c r="AA6" s="4" t="s">
        <v>775</v>
      </c>
      <c r="AB6" s="4" t="s">
        <v>775</v>
      </c>
      <c r="AC6" s="4" t="s">
        <v>775</v>
      </c>
      <c r="AD6" s="4" t="s">
        <v>775</v>
      </c>
      <c r="AE6" s="4" t="s">
        <v>775</v>
      </c>
      <c r="AF6" s="4" t="s">
        <v>775</v>
      </c>
      <c r="AG6" s="656"/>
      <c r="AH6" s="574"/>
      <c r="AI6" s="564"/>
      <c r="AJ6" s="220" t="s">
        <v>298</v>
      </c>
      <c r="AK6" s="4" t="s">
        <v>298</v>
      </c>
      <c r="AL6" s="4" t="s">
        <v>298</v>
      </c>
      <c r="AM6" s="4" t="s">
        <v>298</v>
      </c>
      <c r="AN6" s="4" t="s">
        <v>298</v>
      </c>
      <c r="AO6" s="4" t="s">
        <v>298</v>
      </c>
      <c r="AP6" s="4" t="s">
        <v>298</v>
      </c>
      <c r="AQ6" s="4" t="s">
        <v>298</v>
      </c>
      <c r="AR6" s="4" t="s">
        <v>298</v>
      </c>
      <c r="AS6" s="4" t="s">
        <v>298</v>
      </c>
      <c r="AT6" s="4" t="s">
        <v>298</v>
      </c>
      <c r="AU6" s="4" t="s">
        <v>298</v>
      </c>
      <c r="AV6" s="4" t="s">
        <v>298</v>
      </c>
      <c r="AW6" s="4" t="s">
        <v>298</v>
      </c>
      <c r="AX6" s="4" t="s">
        <v>298</v>
      </c>
      <c r="AY6" s="4" t="s">
        <v>298</v>
      </c>
      <c r="AZ6" s="4" t="s">
        <v>298</v>
      </c>
      <c r="BA6" s="4" t="s">
        <v>298</v>
      </c>
      <c r="BB6" s="4" t="s">
        <v>298</v>
      </c>
      <c r="BC6" s="4" t="s">
        <v>298</v>
      </c>
      <c r="BD6" s="656"/>
      <c r="BE6" s="574"/>
      <c r="BF6" s="564"/>
      <c r="BG6" s="220" t="s">
        <v>287</v>
      </c>
      <c r="BH6" s="4" t="s">
        <v>287</v>
      </c>
      <c r="BI6" s="4" t="s">
        <v>287</v>
      </c>
      <c r="BJ6" s="4" t="s">
        <v>287</v>
      </c>
      <c r="BK6" s="4" t="s">
        <v>287</v>
      </c>
      <c r="BL6" s="4" t="s">
        <v>287</v>
      </c>
      <c r="BM6" s="4" t="s">
        <v>287</v>
      </c>
      <c r="BN6" s="4" t="s">
        <v>287</v>
      </c>
      <c r="BO6" s="4" t="s">
        <v>287</v>
      </c>
      <c r="BP6" s="4" t="s">
        <v>287</v>
      </c>
      <c r="BQ6" s="4" t="s">
        <v>287</v>
      </c>
      <c r="BR6" s="4" t="s">
        <v>287</v>
      </c>
      <c r="BS6" s="4" t="s">
        <v>287</v>
      </c>
      <c r="BT6" s="4" t="s">
        <v>287</v>
      </c>
      <c r="BU6" s="4" t="s">
        <v>287</v>
      </c>
      <c r="BV6" s="4" t="s">
        <v>287</v>
      </c>
      <c r="BW6" s="4" t="s">
        <v>287</v>
      </c>
      <c r="BX6" s="4" t="s">
        <v>287</v>
      </c>
      <c r="BY6" s="4" t="s">
        <v>287</v>
      </c>
      <c r="BZ6" s="4" t="s">
        <v>287</v>
      </c>
      <c r="CA6" s="656"/>
      <c r="CB6" s="574"/>
      <c r="CC6" s="564"/>
      <c r="CD6" s="220" t="s">
        <v>312</v>
      </c>
      <c r="CE6" s="4" t="s">
        <v>312</v>
      </c>
      <c r="CF6" s="4" t="s">
        <v>312</v>
      </c>
      <c r="CG6" s="4" t="s">
        <v>312</v>
      </c>
      <c r="CH6" s="4" t="s">
        <v>312</v>
      </c>
      <c r="CI6" s="4" t="s">
        <v>312</v>
      </c>
      <c r="CJ6" s="4" t="s">
        <v>312</v>
      </c>
      <c r="CK6" s="4" t="s">
        <v>312</v>
      </c>
      <c r="CL6" s="4" t="s">
        <v>312</v>
      </c>
      <c r="CM6" s="4" t="s">
        <v>312</v>
      </c>
      <c r="CN6" s="4" t="s">
        <v>312</v>
      </c>
      <c r="CO6" s="4" t="s">
        <v>312</v>
      </c>
      <c r="CP6" s="4" t="s">
        <v>312</v>
      </c>
      <c r="CQ6" s="4" t="s">
        <v>312</v>
      </c>
      <c r="CR6" s="4" t="s">
        <v>312</v>
      </c>
      <c r="CS6" s="4" t="s">
        <v>312</v>
      </c>
      <c r="CT6" s="4" t="s">
        <v>312</v>
      </c>
      <c r="CU6" s="4" t="s">
        <v>312</v>
      </c>
      <c r="CV6" s="4" t="s">
        <v>312</v>
      </c>
      <c r="CW6" s="4" t="s">
        <v>312</v>
      </c>
      <c r="CX6" s="656"/>
      <c r="CY6" s="574"/>
      <c r="CZ6" s="564"/>
      <c r="DA6" s="5" t="s">
        <v>198</v>
      </c>
      <c r="DB6" s="5" t="s">
        <v>199</v>
      </c>
      <c r="DC6" s="5" t="s">
        <v>200</v>
      </c>
      <c r="DD6" s="5" t="s">
        <v>201</v>
      </c>
      <c r="DE6" s="5" t="s">
        <v>20</v>
      </c>
      <c r="DF6" s="31" t="s">
        <v>202</v>
      </c>
      <c r="DG6" s="31" t="s">
        <v>203</v>
      </c>
      <c r="DH6" s="31" t="s">
        <v>204</v>
      </c>
      <c r="DI6" s="31" t="s">
        <v>205</v>
      </c>
      <c r="DK6" s="28"/>
      <c r="DL6" s="28"/>
    </row>
    <row r="7" spans="1:117" s="35" customFormat="1" ht="121.5" customHeight="1" x14ac:dyDescent="0.25">
      <c r="A7" s="249" t="s">
        <v>55</v>
      </c>
      <c r="B7" s="248" t="s">
        <v>56</v>
      </c>
      <c r="C7" s="248" t="s">
        <v>212</v>
      </c>
      <c r="D7" s="248" t="s">
        <v>302</v>
      </c>
      <c r="E7" s="248" t="s">
        <v>213</v>
      </c>
      <c r="F7" s="251">
        <v>0.8</v>
      </c>
      <c r="G7" s="302" t="s">
        <v>635</v>
      </c>
      <c r="H7" s="60" t="s">
        <v>790</v>
      </c>
      <c r="I7" s="6">
        <v>1</v>
      </c>
      <c r="J7" s="11" t="s">
        <v>482</v>
      </c>
      <c r="K7" s="11" t="s">
        <v>668</v>
      </c>
      <c r="L7" s="357" t="s">
        <v>677</v>
      </c>
      <c r="M7" s="221"/>
      <c r="N7" s="55"/>
      <c r="O7" s="55"/>
      <c r="P7" s="55"/>
      <c r="Q7" s="55"/>
      <c r="R7" s="55"/>
      <c r="S7" s="55"/>
      <c r="T7" s="55"/>
      <c r="U7" s="55"/>
      <c r="V7" s="55"/>
      <c r="W7" s="55"/>
      <c r="X7" s="55"/>
      <c r="Y7" s="55"/>
      <c r="Z7" s="55"/>
      <c r="AA7" s="55"/>
      <c r="AB7" s="55"/>
      <c r="AC7" s="55"/>
      <c r="AD7" s="130"/>
      <c r="AE7" s="130"/>
      <c r="AF7" s="130"/>
      <c r="AG7" s="55"/>
      <c r="AH7" s="55"/>
      <c r="AI7" s="143" t="e">
        <f>+AVERAGE(M7:AE7)</f>
        <v>#DIV/0!</v>
      </c>
      <c r="AJ7" s="221"/>
      <c r="AK7" s="55"/>
      <c r="AL7" s="55"/>
      <c r="AM7" s="55"/>
      <c r="AN7" s="55"/>
      <c r="AO7" s="55"/>
      <c r="AP7" s="55"/>
      <c r="AQ7" s="55"/>
      <c r="AR7" s="55"/>
      <c r="AS7" s="55"/>
      <c r="AT7" s="55"/>
      <c r="AU7" s="55"/>
      <c r="AV7" s="55"/>
      <c r="AW7" s="55"/>
      <c r="AX7" s="55"/>
      <c r="AY7" s="55"/>
      <c r="AZ7" s="55"/>
      <c r="BA7" s="130"/>
      <c r="BB7" s="130"/>
      <c r="BC7" s="130"/>
      <c r="BD7" s="55"/>
      <c r="BE7" s="55"/>
      <c r="BF7" s="143" t="e">
        <f>+AVERAGE(AJ7:BA7)</f>
        <v>#DIV/0!</v>
      </c>
      <c r="BG7" s="221"/>
      <c r="BH7" s="55"/>
      <c r="BI7" s="55"/>
      <c r="BJ7" s="55"/>
      <c r="BK7" s="55"/>
      <c r="BL7" s="55"/>
      <c r="BM7" s="55"/>
      <c r="BN7" s="55"/>
      <c r="BO7" s="55"/>
      <c r="BP7" s="55"/>
      <c r="BQ7" s="55"/>
      <c r="BR7" s="55"/>
      <c r="BS7" s="55"/>
      <c r="BT7" s="55"/>
      <c r="BU7" s="55"/>
      <c r="BV7" s="55"/>
      <c r="BW7" s="55"/>
      <c r="BX7" s="55"/>
      <c r="BY7" s="55"/>
      <c r="BZ7" s="55"/>
      <c r="CA7" s="55"/>
      <c r="CB7" s="55"/>
      <c r="CC7" s="143" t="e">
        <f>+AVERAGE(BU7:BZ7)</f>
        <v>#DIV/0!</v>
      </c>
      <c r="CD7" s="221"/>
      <c r="CE7" s="55"/>
      <c r="CF7" s="55"/>
      <c r="CG7" s="55"/>
      <c r="CH7" s="55"/>
      <c r="CI7" s="55"/>
      <c r="CJ7" s="55"/>
      <c r="CK7" s="55"/>
      <c r="CL7" s="55"/>
      <c r="CM7" s="55"/>
      <c r="CN7" s="55"/>
      <c r="CO7" s="55"/>
      <c r="CP7" s="55"/>
      <c r="CQ7" s="55"/>
      <c r="CR7" s="55"/>
      <c r="CS7" s="55"/>
      <c r="CT7" s="55"/>
      <c r="CU7" s="55"/>
      <c r="CV7" s="55"/>
      <c r="CW7" s="55"/>
      <c r="CX7" s="55"/>
      <c r="CY7" s="55"/>
      <c r="CZ7" s="64" t="e">
        <f>+AVERAGE(CR7:CW7)</f>
        <v>#DIV/0!</v>
      </c>
      <c r="DA7" s="25" t="str">
        <f>IFERROR(IF(AI7&gt;1,1,(AI7*100%)/1),"-")</f>
        <v>-</v>
      </c>
      <c r="DB7" s="25" t="str">
        <f>IFERROR(IF(BF7&gt;1,1,(BF7*100%)/1),"-")</f>
        <v>-</v>
      </c>
      <c r="DC7" s="25" t="str">
        <f>IFERROR(IF(CC7&gt;1,1,(CC7*100%)/1),"-")</f>
        <v>-</v>
      </c>
      <c r="DD7" s="25" t="str">
        <f>IFERROR(IF(CZ7&gt;1,1,(CZ7*100%)/1),"-")</f>
        <v>-</v>
      </c>
      <c r="DE7" s="25" t="str">
        <f>IFERROR(AVERAGE(DA7:DD7),"-")</f>
        <v>-</v>
      </c>
      <c r="DF7" s="32"/>
      <c r="DG7" s="33"/>
      <c r="DH7" s="34"/>
      <c r="DI7" s="34"/>
    </row>
    <row r="8" spans="1:117" ht="45.6" customHeight="1" thickBot="1" x14ac:dyDescent="0.25">
      <c r="A8" s="601" t="s">
        <v>293</v>
      </c>
      <c r="B8" s="602"/>
      <c r="C8" s="602"/>
      <c r="D8" s="602"/>
      <c r="E8" s="602"/>
      <c r="F8" s="602"/>
      <c r="G8" s="602"/>
      <c r="H8" s="602"/>
      <c r="I8" s="602"/>
      <c r="J8" s="602"/>
      <c r="K8" s="603"/>
      <c r="L8" s="429" t="s">
        <v>760</v>
      </c>
      <c r="M8" s="344" t="str">
        <f>IFERROR(AVERAGE(M7:M7),"-")</f>
        <v>-</v>
      </c>
      <c r="N8" s="344" t="str">
        <f>IFERROR(AVERAGE(N7:N7),"-")</f>
        <v>-</v>
      </c>
      <c r="O8" s="344" t="str">
        <f>IFERROR(AVERAGE(O7:O7),"-")</f>
        <v>-</v>
      </c>
      <c r="P8" s="344" t="str">
        <f>IFERROR(AVERAGE(P7:P7),"-")</f>
        <v>-</v>
      </c>
      <c r="Q8" s="344" t="str">
        <f>IFERROR(AVERAGE(Q7:Q7),"-")</f>
        <v>-</v>
      </c>
      <c r="R8" s="344" t="str">
        <f t="shared" ref="R8:AD8" si="0">IFERROR(AVERAGE(R7:R7),"-")</f>
        <v>-</v>
      </c>
      <c r="S8" s="344" t="str">
        <f t="shared" si="0"/>
        <v>-</v>
      </c>
      <c r="T8" s="344" t="str">
        <f t="shared" si="0"/>
        <v>-</v>
      </c>
      <c r="U8" s="344" t="str">
        <f t="shared" si="0"/>
        <v>-</v>
      </c>
      <c r="V8" s="344" t="str">
        <f t="shared" si="0"/>
        <v>-</v>
      </c>
      <c r="W8" s="344" t="str">
        <f t="shared" si="0"/>
        <v>-</v>
      </c>
      <c r="X8" s="344" t="str">
        <f t="shared" si="0"/>
        <v>-</v>
      </c>
      <c r="Y8" s="344" t="str">
        <f t="shared" si="0"/>
        <v>-</v>
      </c>
      <c r="Z8" s="344" t="str">
        <f t="shared" si="0"/>
        <v>-</v>
      </c>
      <c r="AA8" s="344" t="str">
        <f t="shared" si="0"/>
        <v>-</v>
      </c>
      <c r="AB8" s="344" t="str">
        <f t="shared" si="0"/>
        <v>-</v>
      </c>
      <c r="AC8" s="344" t="str">
        <f t="shared" si="0"/>
        <v>-</v>
      </c>
      <c r="AD8" s="344" t="str">
        <f t="shared" si="0"/>
        <v>-</v>
      </c>
      <c r="AE8" s="130">
        <v>0.38</v>
      </c>
      <c r="AF8" s="375"/>
      <c r="AG8" s="468"/>
      <c r="AH8" s="433"/>
      <c r="AI8" s="619" t="str">
        <f t="shared" ref="AI8" si="1">IFERROR(AVERAGE(AI7:AI7),"-")</f>
        <v>-</v>
      </c>
      <c r="AJ8" s="344" t="str">
        <f>IFERROR(AVERAGE(AJ7:AJ7),"-")</f>
        <v>-</v>
      </c>
      <c r="AK8" s="344" t="str">
        <f>IFERROR(AVERAGE(AK7:AK7),"-")</f>
        <v>-</v>
      </c>
      <c r="AL8" s="344" t="str">
        <f>IFERROR(AVERAGE(AL7:AL7),"-")</f>
        <v>-</v>
      </c>
      <c r="AM8" s="344" t="str">
        <f>IFERROR(AVERAGE(AM7:AM7),"-")</f>
        <v>-</v>
      </c>
      <c r="AN8" s="344" t="str">
        <f>IFERROR(AVERAGE(AN7:AN7),"-")</f>
        <v>-</v>
      </c>
      <c r="AO8" s="344" t="str">
        <f t="shared" ref="AO8:AW8" si="2">IFERROR(AVERAGE(AO7:AO7),"-")</f>
        <v>-</v>
      </c>
      <c r="AP8" s="344" t="str">
        <f t="shared" si="2"/>
        <v>-</v>
      </c>
      <c r="AQ8" s="344" t="str">
        <f t="shared" si="2"/>
        <v>-</v>
      </c>
      <c r="AR8" s="344" t="str">
        <f t="shared" si="2"/>
        <v>-</v>
      </c>
      <c r="AS8" s="344" t="str">
        <f t="shared" si="2"/>
        <v>-</v>
      </c>
      <c r="AT8" s="344" t="str">
        <f t="shared" si="2"/>
        <v>-</v>
      </c>
      <c r="AU8" s="344" t="str">
        <f t="shared" si="2"/>
        <v>-</v>
      </c>
      <c r="AV8" s="344" t="str">
        <f t="shared" si="2"/>
        <v>-</v>
      </c>
      <c r="AW8" s="344" t="str">
        <f t="shared" si="2"/>
        <v>-</v>
      </c>
      <c r="AX8" s="344" t="str">
        <f t="shared" ref="AX8:BA8" si="3">IFERROR(AVERAGE(AX7:AX7),"-")</f>
        <v>-</v>
      </c>
      <c r="AY8" s="344" t="str">
        <f t="shared" si="3"/>
        <v>-</v>
      </c>
      <c r="AZ8" s="344" t="str">
        <f t="shared" si="3"/>
        <v>-</v>
      </c>
      <c r="BA8" s="344" t="str">
        <f t="shared" si="3"/>
        <v>-</v>
      </c>
      <c r="BB8" s="344"/>
      <c r="BC8" s="344"/>
      <c r="BD8" s="433"/>
      <c r="BE8" s="118"/>
      <c r="BF8" s="619" t="str">
        <f t="shared" ref="BF8:BT8" si="4">IFERROR(AVERAGE(BF7:BF7),"-")</f>
        <v>-</v>
      </c>
      <c r="BG8" s="375" t="str">
        <f t="shared" si="4"/>
        <v>-</v>
      </c>
      <c r="BH8" s="375" t="str">
        <f t="shared" si="4"/>
        <v>-</v>
      </c>
      <c r="BI8" s="375" t="str">
        <f t="shared" si="4"/>
        <v>-</v>
      </c>
      <c r="BJ8" s="375" t="str">
        <f t="shared" si="4"/>
        <v>-</v>
      </c>
      <c r="BK8" s="375" t="str">
        <f t="shared" si="4"/>
        <v>-</v>
      </c>
      <c r="BL8" s="375" t="str">
        <f t="shared" si="4"/>
        <v>-</v>
      </c>
      <c r="BM8" s="375" t="str">
        <f t="shared" si="4"/>
        <v>-</v>
      </c>
      <c r="BN8" s="375" t="str">
        <f t="shared" si="4"/>
        <v>-</v>
      </c>
      <c r="BO8" s="375" t="str">
        <f t="shared" si="4"/>
        <v>-</v>
      </c>
      <c r="BP8" s="375" t="str">
        <f t="shared" si="4"/>
        <v>-</v>
      </c>
      <c r="BQ8" s="375" t="str">
        <f t="shared" si="4"/>
        <v>-</v>
      </c>
      <c r="BR8" s="375" t="str">
        <f t="shared" si="4"/>
        <v>-</v>
      </c>
      <c r="BS8" s="375" t="str">
        <f t="shared" si="4"/>
        <v>-</v>
      </c>
      <c r="BT8" s="375" t="str">
        <f t="shared" si="4"/>
        <v>-</v>
      </c>
      <c r="BU8" s="467" t="str">
        <f t="shared" ref="BU8" si="5">IFERROR(AVERAGE(BU7:BU7),"-")</f>
        <v>-</v>
      </c>
      <c r="BV8" s="375" t="str">
        <f t="shared" ref="BV8" si="6">IFERROR(AVERAGE(BV7:BV7),"-")</f>
        <v>-</v>
      </c>
      <c r="BW8" s="375" t="str">
        <f t="shared" ref="BW8:BX8" si="7">IFERROR(AVERAGE(BW7:BW7),"-")</f>
        <v>-</v>
      </c>
      <c r="BX8" s="375" t="str">
        <f t="shared" si="7"/>
        <v>-</v>
      </c>
      <c r="BY8" s="375" t="str">
        <f t="shared" ref="BY8" si="8">IFERROR(AVERAGE(BY7:BY7),"-")</f>
        <v>-</v>
      </c>
      <c r="BZ8" s="375" t="str">
        <f t="shared" ref="BZ8" si="9">IFERROR(AVERAGE(BZ7:BZ7),"-")</f>
        <v>-</v>
      </c>
      <c r="CA8" s="355"/>
      <c r="CB8" s="118"/>
      <c r="CC8" s="434" t="str">
        <f t="shared" ref="CC8" si="10">IFERROR(AVERAGE(CC7:CC7),"-")</f>
        <v>-</v>
      </c>
      <c r="CD8" s="344" t="str">
        <f>IFERROR(AVERAGE(CD7:CD7),"-")</f>
        <v>-</v>
      </c>
      <c r="CE8" s="344" t="str">
        <f>IFERROR(AVERAGE(CE7:CE7),"-")</f>
        <v>-</v>
      </c>
      <c r="CF8" s="344" t="str">
        <f>IFERROR(AVERAGE(CF7:CF7),"-")</f>
        <v>-</v>
      </c>
      <c r="CG8" s="344" t="str">
        <f>IFERROR(AVERAGE(CG7:CG7),"-")</f>
        <v>-</v>
      </c>
      <c r="CH8" s="344" t="str">
        <f>IFERROR(AVERAGE(CH7:CH7),"-")</f>
        <v>-</v>
      </c>
      <c r="CI8" s="344" t="str">
        <f t="shared" ref="CI8:CQ8" si="11">IFERROR(AVERAGE(CI7:CI7),"-")</f>
        <v>-</v>
      </c>
      <c r="CJ8" s="344" t="str">
        <f t="shared" si="11"/>
        <v>-</v>
      </c>
      <c r="CK8" s="344" t="str">
        <f t="shared" si="11"/>
        <v>-</v>
      </c>
      <c r="CL8" s="344" t="str">
        <f t="shared" si="11"/>
        <v>-</v>
      </c>
      <c r="CM8" s="344" t="str">
        <f t="shared" si="11"/>
        <v>-</v>
      </c>
      <c r="CN8" s="344" t="str">
        <f t="shared" si="11"/>
        <v>-</v>
      </c>
      <c r="CO8" s="344" t="str">
        <f t="shared" si="11"/>
        <v>-</v>
      </c>
      <c r="CP8" s="344" t="str">
        <f t="shared" si="11"/>
        <v>-</v>
      </c>
      <c r="CQ8" s="344" t="str">
        <f t="shared" si="11"/>
        <v>-</v>
      </c>
      <c r="CR8" s="344" t="str">
        <f t="shared" ref="CR8" si="12">IFERROR(AVERAGE(CR7:CR7),"-")</f>
        <v>-</v>
      </c>
      <c r="CS8" s="344"/>
      <c r="CT8" s="344" t="str">
        <f t="shared" ref="CT8" si="13">IFERROR(AVERAGE(CT7:CT7),"-")</f>
        <v>-</v>
      </c>
      <c r="CU8" s="344" t="str">
        <f t="shared" ref="CU8" si="14">IFERROR(AVERAGE(CU7:CU7),"-")</f>
        <v>-</v>
      </c>
      <c r="CV8" s="344" t="str">
        <f t="shared" ref="CV8" si="15">IFERROR(AVERAGE(CV7:CV7),"-")</f>
        <v>-</v>
      </c>
      <c r="CW8" s="344" t="str">
        <f t="shared" ref="CW8" si="16">IFERROR(AVERAGE(CW7:CW7),"-")</f>
        <v>-</v>
      </c>
      <c r="CX8" s="433"/>
      <c r="CY8" s="433"/>
      <c r="CZ8" s="433" t="str">
        <f t="shared" ref="CZ8:DE8" si="17">IFERROR(AVERAGE(CZ7:CZ7),"-")</f>
        <v>-</v>
      </c>
      <c r="DA8" s="56" t="str">
        <f t="shared" si="17"/>
        <v>-</v>
      </c>
      <c r="DB8" s="56" t="str">
        <f t="shared" si="17"/>
        <v>-</v>
      </c>
      <c r="DC8" s="56" t="str">
        <f t="shared" si="17"/>
        <v>-</v>
      </c>
      <c r="DD8" s="56" t="str">
        <f t="shared" si="17"/>
        <v>-</v>
      </c>
      <c r="DE8" s="431" t="str">
        <f t="shared" si="17"/>
        <v>-</v>
      </c>
      <c r="DF8" s="26"/>
      <c r="DG8" s="30"/>
      <c r="DH8" s="27"/>
      <c r="DI8" s="26"/>
      <c r="DK8" s="28"/>
      <c r="DL8" s="28"/>
    </row>
    <row r="9" spans="1:117" ht="27" customHeight="1" thickBot="1" x14ac:dyDescent="0.3">
      <c r="AH9" s="189" t="s">
        <v>795</v>
      </c>
      <c r="AI9" s="620"/>
      <c r="BE9" s="59" t="s">
        <v>295</v>
      </c>
      <c r="BF9" s="619"/>
      <c r="BL9" s="180"/>
      <c r="BO9" s="352"/>
      <c r="CB9" s="189" t="s">
        <v>505</v>
      </c>
      <c r="CC9" s="435"/>
      <c r="CY9" s="437" t="s">
        <v>297</v>
      </c>
      <c r="CZ9" s="436"/>
      <c r="DD9" s="356" t="s">
        <v>294</v>
      </c>
      <c r="DE9" s="432"/>
    </row>
    <row r="12" spans="1:117" ht="42" customHeight="1" x14ac:dyDescent="0.25">
      <c r="E12" s="664" t="s">
        <v>561</v>
      </c>
      <c r="F12" s="665"/>
      <c r="G12" s="665"/>
      <c r="H12" s="665"/>
      <c r="I12" s="665"/>
      <c r="J12" s="666"/>
      <c r="K12" s="340" t="s">
        <v>558</v>
      </c>
      <c r="L12" s="348" t="s">
        <v>559</v>
      </c>
      <c r="N12" s="35"/>
      <c r="O12" s="35"/>
      <c r="P12" s="35"/>
      <c r="Q12" s="35"/>
      <c r="R12" s="35"/>
      <c r="S12" s="35"/>
      <c r="T12" s="35"/>
      <c r="U12" s="35"/>
      <c r="V12" s="35"/>
      <c r="W12" s="35"/>
      <c r="X12" s="35"/>
      <c r="Y12" s="35"/>
      <c r="Z12" s="35"/>
      <c r="AE12" s="340" t="s">
        <v>563</v>
      </c>
      <c r="AF12" s="340" t="s">
        <v>564</v>
      </c>
      <c r="AG12" s="340" t="s">
        <v>562</v>
      </c>
      <c r="AK12" s="35"/>
      <c r="AL12" s="35"/>
      <c r="AM12" s="35"/>
      <c r="AN12" s="35"/>
      <c r="AO12" s="35"/>
      <c r="AP12" s="35"/>
      <c r="AQ12" s="35"/>
      <c r="AR12" s="35"/>
      <c r="AS12" s="35"/>
      <c r="AT12" s="35"/>
      <c r="AU12" s="35"/>
      <c r="AV12" s="35"/>
      <c r="AW12" s="35"/>
      <c r="BB12" s="340" t="s">
        <v>563</v>
      </c>
      <c r="BC12" s="349" t="s">
        <v>779</v>
      </c>
      <c r="BD12" s="340" t="s">
        <v>564</v>
      </c>
      <c r="BE12" s="340" t="s">
        <v>562</v>
      </c>
      <c r="BL12" s="28"/>
      <c r="BN12"/>
      <c r="BO12" s="28"/>
      <c r="BP12" s="54"/>
      <c r="BY12" s="349" t="s">
        <v>563</v>
      </c>
      <c r="BZ12" s="349" t="s">
        <v>779</v>
      </c>
      <c r="CA12" s="349" t="s">
        <v>695</v>
      </c>
      <c r="CB12" s="349" t="s">
        <v>564</v>
      </c>
      <c r="CC12" s="340" t="s">
        <v>562</v>
      </c>
      <c r="CD12" s="374"/>
      <c r="CE12" s="54"/>
      <c r="CF12" s="35"/>
      <c r="CG12" s="35"/>
      <c r="CH12" s="35"/>
      <c r="CI12" s="35"/>
      <c r="CJ12" s="35"/>
      <c r="CK12" s="35"/>
      <c r="CL12" s="35"/>
      <c r="CM12" s="35"/>
      <c r="CN12" s="35"/>
      <c r="CO12" s="35"/>
      <c r="CP12" s="35"/>
      <c r="CQ12" s="35"/>
      <c r="CR12" s="35"/>
      <c r="CS12" s="35"/>
      <c r="CW12" s="349" t="s">
        <v>563</v>
      </c>
      <c r="CX12" s="349" t="s">
        <v>779</v>
      </c>
      <c r="CY12" s="349" t="s">
        <v>695</v>
      </c>
      <c r="CZ12" s="349" t="s">
        <v>701</v>
      </c>
      <c r="DA12" s="471" t="s">
        <v>564</v>
      </c>
      <c r="DB12" s="340" t="s">
        <v>562</v>
      </c>
      <c r="DC12" s="374"/>
      <c r="DK12" s="28"/>
      <c r="DM12"/>
    </row>
    <row r="13" spans="1:117" ht="15" hidden="1" customHeight="1" x14ac:dyDescent="0.25">
      <c r="E13" s="651" t="s">
        <v>637</v>
      </c>
      <c r="F13" s="652"/>
      <c r="G13" s="652"/>
      <c r="H13" s="652"/>
      <c r="I13" s="652"/>
      <c r="J13" s="653"/>
      <c r="K13" s="315">
        <v>1</v>
      </c>
      <c r="L13" s="258">
        <v>0.05</v>
      </c>
      <c r="AE13" s="316">
        <f>+M7</f>
        <v>0</v>
      </c>
      <c r="AF13" s="345">
        <f>IFERROR(IF(AE13&gt;1,1,(AE13*100%)/1),"-")</f>
        <v>0</v>
      </c>
      <c r="AG13" s="346">
        <f t="shared" ref="AG13:AG24" si="18">+IFERROR(IF(AF13=100%,L13,(+AF13*L13)),"-")</f>
        <v>0</v>
      </c>
      <c r="BB13" s="316">
        <f>+AJ7</f>
        <v>0</v>
      </c>
      <c r="BC13" s="316">
        <f t="shared" ref="BC13:BC32" si="19">+AE13</f>
        <v>0</v>
      </c>
      <c r="BD13" s="345">
        <f>IFERROR(IF(AVERAGE(BB13:BC13)&gt;=1,1,(AVERAGE(BB13:BC13)*100%)/1),"-")</f>
        <v>0</v>
      </c>
      <c r="BE13" s="346">
        <f t="shared" ref="BE13:BE24" si="20">+IF(BD13=100%,L13,(+BD13*L13))</f>
        <v>0</v>
      </c>
      <c r="BL13" s="28"/>
      <c r="BN13"/>
      <c r="BO13" s="28"/>
      <c r="BP13" s="54"/>
      <c r="BY13" s="316">
        <f>+BG7</f>
        <v>0</v>
      </c>
      <c r="BZ13" s="316">
        <f>+AE13</f>
        <v>0</v>
      </c>
      <c r="CA13" s="316">
        <f>+BB13</f>
        <v>0</v>
      </c>
      <c r="CB13" s="345">
        <f>IFERROR(IF(AVERAGE(BY13:CA13)&gt;=1,1,(AVERAGE(BY13:CA13)*100%)/1),"-")</f>
        <v>0</v>
      </c>
      <c r="CC13" s="346">
        <f t="shared" ref="CC13:CC32" si="21">+IF(CB13=100%,L13,(+CB13*L13))</f>
        <v>0</v>
      </c>
      <c r="CD13" s="463"/>
      <c r="CE13" s="54"/>
      <c r="CW13" s="316">
        <f>+CD7</f>
        <v>0</v>
      </c>
      <c r="CX13" s="316">
        <f>+AE13</f>
        <v>0</v>
      </c>
      <c r="CY13" s="316">
        <f t="shared" ref="CY13:CY27" si="22">+BB13</f>
        <v>0</v>
      </c>
      <c r="CZ13" s="316">
        <f t="shared" ref="CZ13:CZ27" si="23">+BY13</f>
        <v>0</v>
      </c>
      <c r="DA13" s="472">
        <f>IFERROR(IF(AVERAGE(CW13:CZ13)&gt;=1,1,(AVERAGE(CW13:CZ13)*100%)/1),"-")</f>
        <v>0</v>
      </c>
      <c r="DB13" s="346">
        <f>+IF(DA13=100%,L13,(+DA13*L13))</f>
        <v>0</v>
      </c>
      <c r="DC13" s="463"/>
      <c r="DK13" s="28"/>
      <c r="DM13"/>
    </row>
    <row r="14" spans="1:117" ht="15" hidden="1" customHeight="1" x14ac:dyDescent="0.25">
      <c r="E14" s="651" t="s">
        <v>638</v>
      </c>
      <c r="F14" s="652"/>
      <c r="G14" s="652"/>
      <c r="H14" s="652"/>
      <c r="I14" s="652"/>
      <c r="J14" s="653"/>
      <c r="K14" s="315">
        <v>1</v>
      </c>
      <c r="L14" s="258">
        <v>0.05</v>
      </c>
      <c r="AE14" s="316">
        <f>+N7</f>
        <v>0</v>
      </c>
      <c r="AF14" s="345">
        <f t="shared" ref="AF14:AF32" si="24">IFERROR(IF(AE14&gt;1,1,(AE14*100%)/1),"-")</f>
        <v>0</v>
      </c>
      <c r="AG14" s="346">
        <f t="shared" si="18"/>
        <v>0</v>
      </c>
      <c r="BB14" s="316">
        <f>+AK7</f>
        <v>0</v>
      </c>
      <c r="BC14" s="316">
        <f t="shared" si="19"/>
        <v>0</v>
      </c>
      <c r="BD14" s="345">
        <f t="shared" ref="BD14:BD32" si="25">IFERROR(IF(AVERAGE(BB14:BC14)&gt;=1,1,(AVERAGE(BB14:BC14)*100%)/1),"-")</f>
        <v>0</v>
      </c>
      <c r="BE14" s="346">
        <f t="shared" si="20"/>
        <v>0</v>
      </c>
      <c r="BL14" s="28"/>
      <c r="BN14"/>
      <c r="BO14" s="28"/>
      <c r="BP14" s="54"/>
      <c r="BY14" s="316">
        <f>+BH7</f>
        <v>0</v>
      </c>
      <c r="BZ14" s="316">
        <f t="shared" ref="BZ14:BZ32" si="26">+AE14</f>
        <v>0</v>
      </c>
      <c r="CA14" s="316">
        <f t="shared" ref="CA14:CA32" si="27">+BB14</f>
        <v>0</v>
      </c>
      <c r="CB14" s="345">
        <f t="shared" ref="CB14:CB32" si="28">IFERROR(IF(AVERAGE(BY14,CA14)&gt;=1,1,(AVERAGE(BY14,CA14)*100%)/1),"-")</f>
        <v>0</v>
      </c>
      <c r="CC14" s="346">
        <f t="shared" si="21"/>
        <v>0</v>
      </c>
      <c r="CD14" s="463"/>
      <c r="CE14" s="54"/>
      <c r="CW14" s="316">
        <f>+CE7</f>
        <v>0</v>
      </c>
      <c r="CX14" s="316">
        <f t="shared" ref="CX14:CX32" si="29">+AE14</f>
        <v>0</v>
      </c>
      <c r="CY14" s="316">
        <f t="shared" si="22"/>
        <v>0</v>
      </c>
      <c r="CZ14" s="316">
        <f t="shared" si="23"/>
        <v>0</v>
      </c>
      <c r="DA14" s="472">
        <f t="shared" ref="DA14:DA32" si="30">IFERROR(IF(AVERAGE(CW14:CZ14)&gt;=1,1,(AVERAGE(CW14:CZ14)*100%)/1),"-")</f>
        <v>0</v>
      </c>
      <c r="DB14" s="346">
        <f t="shared" ref="DB14:DB27" si="31">+IF(DA14=100%,L14,(+DA14*L14))</f>
        <v>0</v>
      </c>
      <c r="DC14" s="463"/>
      <c r="DK14" s="28"/>
      <c r="DM14"/>
    </row>
    <row r="15" spans="1:117" ht="15" hidden="1" customHeight="1" x14ac:dyDescent="0.25">
      <c r="E15" s="651" t="s">
        <v>639</v>
      </c>
      <c r="F15" s="652"/>
      <c r="G15" s="652"/>
      <c r="H15" s="652"/>
      <c r="I15" s="652"/>
      <c r="J15" s="653"/>
      <c r="K15" s="315">
        <v>1</v>
      </c>
      <c r="L15" s="258">
        <v>0.05</v>
      </c>
      <c r="AE15" s="316">
        <f>+O7</f>
        <v>0</v>
      </c>
      <c r="AF15" s="345">
        <f t="shared" si="24"/>
        <v>0</v>
      </c>
      <c r="AG15" s="346">
        <f t="shared" si="18"/>
        <v>0</v>
      </c>
      <c r="BB15" s="316">
        <f>+AL7</f>
        <v>0</v>
      </c>
      <c r="BC15" s="316">
        <f t="shared" si="19"/>
        <v>0</v>
      </c>
      <c r="BD15" s="345">
        <f t="shared" si="25"/>
        <v>0</v>
      </c>
      <c r="BE15" s="346">
        <f t="shared" si="20"/>
        <v>0</v>
      </c>
      <c r="BL15" s="28"/>
      <c r="BN15"/>
      <c r="BO15" s="28"/>
      <c r="BP15" s="54"/>
      <c r="BY15" s="316">
        <f>+BI7</f>
        <v>0</v>
      </c>
      <c r="BZ15" s="316">
        <f t="shared" si="26"/>
        <v>0</v>
      </c>
      <c r="CA15" s="316">
        <f t="shared" si="27"/>
        <v>0</v>
      </c>
      <c r="CB15" s="345">
        <f t="shared" si="28"/>
        <v>0</v>
      </c>
      <c r="CC15" s="346">
        <f t="shared" si="21"/>
        <v>0</v>
      </c>
      <c r="CD15" s="463"/>
      <c r="CE15" s="54"/>
      <c r="CW15" s="316">
        <f>+CF7</f>
        <v>0</v>
      </c>
      <c r="CX15" s="316">
        <f t="shared" si="29"/>
        <v>0</v>
      </c>
      <c r="CY15" s="316">
        <f t="shared" si="22"/>
        <v>0</v>
      </c>
      <c r="CZ15" s="316">
        <f t="shared" si="23"/>
        <v>0</v>
      </c>
      <c r="DA15" s="472">
        <f t="shared" si="30"/>
        <v>0</v>
      </c>
      <c r="DB15" s="346">
        <f t="shared" si="31"/>
        <v>0</v>
      </c>
      <c r="DC15" s="463"/>
      <c r="DK15" s="28"/>
      <c r="DM15"/>
    </row>
    <row r="16" spans="1:117" ht="15" hidden="1" customHeight="1" x14ac:dyDescent="0.25">
      <c r="E16" s="651" t="s">
        <v>640</v>
      </c>
      <c r="F16" s="652"/>
      <c r="G16" s="652"/>
      <c r="H16" s="652"/>
      <c r="I16" s="652"/>
      <c r="J16" s="653"/>
      <c r="K16" s="315">
        <v>1</v>
      </c>
      <c r="L16" s="258">
        <v>0.05</v>
      </c>
      <c r="AE16" s="316">
        <f>+P7</f>
        <v>0</v>
      </c>
      <c r="AF16" s="345">
        <f t="shared" si="24"/>
        <v>0</v>
      </c>
      <c r="AG16" s="346">
        <f t="shared" si="18"/>
        <v>0</v>
      </c>
      <c r="BB16" s="316">
        <f>+AM7</f>
        <v>0</v>
      </c>
      <c r="BC16" s="316">
        <f t="shared" si="19"/>
        <v>0</v>
      </c>
      <c r="BD16" s="345">
        <f t="shared" si="25"/>
        <v>0</v>
      </c>
      <c r="BE16" s="346">
        <f t="shared" si="20"/>
        <v>0</v>
      </c>
      <c r="BL16" s="28"/>
      <c r="BN16"/>
      <c r="BO16" s="28"/>
      <c r="BP16" s="54"/>
      <c r="BY16" s="316">
        <f>+BJ7</f>
        <v>0</v>
      </c>
      <c r="BZ16" s="316">
        <f t="shared" si="26"/>
        <v>0</v>
      </c>
      <c r="CA16" s="316">
        <f t="shared" si="27"/>
        <v>0</v>
      </c>
      <c r="CB16" s="345">
        <f t="shared" si="28"/>
        <v>0</v>
      </c>
      <c r="CC16" s="346">
        <f t="shared" si="21"/>
        <v>0</v>
      </c>
      <c r="CD16" s="463"/>
      <c r="CE16" s="54"/>
      <c r="CW16" s="316">
        <f>+CG7</f>
        <v>0</v>
      </c>
      <c r="CX16" s="316">
        <f t="shared" si="29"/>
        <v>0</v>
      </c>
      <c r="CY16" s="316">
        <f t="shared" si="22"/>
        <v>0</v>
      </c>
      <c r="CZ16" s="316">
        <f t="shared" si="23"/>
        <v>0</v>
      </c>
      <c r="DA16" s="472">
        <f t="shared" si="30"/>
        <v>0</v>
      </c>
      <c r="DB16" s="346">
        <f t="shared" si="31"/>
        <v>0</v>
      </c>
      <c r="DC16" s="463"/>
      <c r="DK16" s="28"/>
      <c r="DM16"/>
    </row>
    <row r="17" spans="5:117" ht="15" hidden="1" customHeight="1" x14ac:dyDescent="0.25">
      <c r="E17" s="651" t="s">
        <v>641</v>
      </c>
      <c r="F17" s="652"/>
      <c r="G17" s="652"/>
      <c r="H17" s="652"/>
      <c r="I17" s="652"/>
      <c r="J17" s="653"/>
      <c r="K17" s="315">
        <v>1</v>
      </c>
      <c r="L17" s="258">
        <v>0.05</v>
      </c>
      <c r="AE17" s="316">
        <f>+Q7</f>
        <v>0</v>
      </c>
      <c r="AF17" s="345">
        <f t="shared" si="24"/>
        <v>0</v>
      </c>
      <c r="AG17" s="346">
        <f t="shared" si="18"/>
        <v>0</v>
      </c>
      <c r="BB17" s="316">
        <f>+AN7</f>
        <v>0</v>
      </c>
      <c r="BC17" s="316">
        <f t="shared" si="19"/>
        <v>0</v>
      </c>
      <c r="BD17" s="345">
        <f t="shared" si="25"/>
        <v>0</v>
      </c>
      <c r="BE17" s="346">
        <f t="shared" si="20"/>
        <v>0</v>
      </c>
      <c r="BL17" s="28"/>
      <c r="BN17"/>
      <c r="BO17" s="28"/>
      <c r="BP17" s="54"/>
      <c r="BY17" s="316">
        <f>+BK7</f>
        <v>0</v>
      </c>
      <c r="BZ17" s="316">
        <f t="shared" si="26"/>
        <v>0</v>
      </c>
      <c r="CA17" s="316">
        <f t="shared" si="27"/>
        <v>0</v>
      </c>
      <c r="CB17" s="345">
        <f t="shared" si="28"/>
        <v>0</v>
      </c>
      <c r="CC17" s="346">
        <f t="shared" si="21"/>
        <v>0</v>
      </c>
      <c r="CD17" s="463"/>
      <c r="CE17" s="54"/>
      <c r="CW17" s="316">
        <f>+CH7</f>
        <v>0</v>
      </c>
      <c r="CX17" s="316">
        <f t="shared" si="29"/>
        <v>0</v>
      </c>
      <c r="CY17" s="316">
        <f t="shared" si="22"/>
        <v>0</v>
      </c>
      <c r="CZ17" s="316">
        <f t="shared" si="23"/>
        <v>0</v>
      </c>
      <c r="DA17" s="472">
        <f t="shared" si="30"/>
        <v>0</v>
      </c>
      <c r="DB17" s="346">
        <f t="shared" si="31"/>
        <v>0</v>
      </c>
      <c r="DC17" s="463"/>
      <c r="DK17" s="28"/>
      <c r="DM17"/>
    </row>
    <row r="18" spans="5:117" ht="15" hidden="1" customHeight="1" x14ac:dyDescent="0.25">
      <c r="E18" s="651" t="s">
        <v>642</v>
      </c>
      <c r="F18" s="652"/>
      <c r="G18" s="652"/>
      <c r="H18" s="652"/>
      <c r="I18" s="652"/>
      <c r="J18" s="653"/>
      <c r="K18" s="315">
        <v>1</v>
      </c>
      <c r="L18" s="258">
        <v>0.05</v>
      </c>
      <c r="AE18" s="316">
        <f>+R7</f>
        <v>0</v>
      </c>
      <c r="AF18" s="345">
        <f t="shared" si="24"/>
        <v>0</v>
      </c>
      <c r="AG18" s="346">
        <f t="shared" si="18"/>
        <v>0</v>
      </c>
      <c r="BB18" s="316">
        <f>+AO7</f>
        <v>0</v>
      </c>
      <c r="BC18" s="316">
        <f t="shared" si="19"/>
        <v>0</v>
      </c>
      <c r="BD18" s="345">
        <f t="shared" si="25"/>
        <v>0</v>
      </c>
      <c r="BE18" s="346">
        <f t="shared" si="20"/>
        <v>0</v>
      </c>
      <c r="BL18" s="28"/>
      <c r="BN18"/>
      <c r="BO18" s="28"/>
      <c r="BP18" s="54"/>
      <c r="BY18" s="316">
        <f>+BL7</f>
        <v>0</v>
      </c>
      <c r="BZ18" s="316">
        <f t="shared" si="26"/>
        <v>0</v>
      </c>
      <c r="CA18" s="316">
        <f t="shared" si="27"/>
        <v>0</v>
      </c>
      <c r="CB18" s="345">
        <f t="shared" si="28"/>
        <v>0</v>
      </c>
      <c r="CC18" s="346">
        <f t="shared" si="21"/>
        <v>0</v>
      </c>
      <c r="CD18" s="463"/>
      <c r="CE18" s="54"/>
      <c r="CW18" s="316">
        <f>+CI7</f>
        <v>0</v>
      </c>
      <c r="CX18" s="316">
        <f t="shared" si="29"/>
        <v>0</v>
      </c>
      <c r="CY18" s="316">
        <f t="shared" si="22"/>
        <v>0</v>
      </c>
      <c r="CZ18" s="316">
        <f t="shared" si="23"/>
        <v>0</v>
      </c>
      <c r="DA18" s="472">
        <f t="shared" si="30"/>
        <v>0</v>
      </c>
      <c r="DB18" s="346">
        <f t="shared" si="31"/>
        <v>0</v>
      </c>
      <c r="DC18" s="463"/>
      <c r="DK18" s="28"/>
      <c r="DM18"/>
    </row>
    <row r="19" spans="5:117" ht="15" hidden="1" customHeight="1" x14ac:dyDescent="0.25">
      <c r="E19" s="651" t="s">
        <v>643</v>
      </c>
      <c r="F19" s="652"/>
      <c r="G19" s="652"/>
      <c r="H19" s="652"/>
      <c r="I19" s="652"/>
      <c r="J19" s="653"/>
      <c r="K19" s="315">
        <v>1</v>
      </c>
      <c r="L19" s="258">
        <v>0.05</v>
      </c>
      <c r="AE19" s="316">
        <f>+S7</f>
        <v>0</v>
      </c>
      <c r="AF19" s="345">
        <f t="shared" si="24"/>
        <v>0</v>
      </c>
      <c r="AG19" s="346">
        <f t="shared" si="18"/>
        <v>0</v>
      </c>
      <c r="BB19" s="316">
        <f>+AP7</f>
        <v>0</v>
      </c>
      <c r="BC19" s="316">
        <f t="shared" si="19"/>
        <v>0</v>
      </c>
      <c r="BD19" s="345">
        <f t="shared" si="25"/>
        <v>0</v>
      </c>
      <c r="BE19" s="346">
        <f t="shared" si="20"/>
        <v>0</v>
      </c>
      <c r="BL19" s="28"/>
      <c r="BN19"/>
      <c r="BO19" s="28"/>
      <c r="BP19" s="54"/>
      <c r="BY19" s="316">
        <f>+BM7</f>
        <v>0</v>
      </c>
      <c r="BZ19" s="316">
        <f t="shared" si="26"/>
        <v>0</v>
      </c>
      <c r="CA19" s="316">
        <f t="shared" si="27"/>
        <v>0</v>
      </c>
      <c r="CB19" s="345">
        <f t="shared" si="28"/>
        <v>0</v>
      </c>
      <c r="CC19" s="346">
        <f t="shared" si="21"/>
        <v>0</v>
      </c>
      <c r="CD19" s="463"/>
      <c r="CE19" s="54"/>
      <c r="CW19" s="316">
        <f>+CJ7</f>
        <v>0</v>
      </c>
      <c r="CX19" s="316">
        <f t="shared" si="29"/>
        <v>0</v>
      </c>
      <c r="CY19" s="316">
        <f t="shared" si="22"/>
        <v>0</v>
      </c>
      <c r="CZ19" s="316">
        <f t="shared" si="23"/>
        <v>0</v>
      </c>
      <c r="DA19" s="472">
        <f t="shared" si="30"/>
        <v>0</v>
      </c>
      <c r="DB19" s="346">
        <f t="shared" si="31"/>
        <v>0</v>
      </c>
      <c r="DC19" s="463"/>
      <c r="DK19" s="28"/>
      <c r="DM19"/>
    </row>
    <row r="20" spans="5:117" ht="15" hidden="1" customHeight="1" x14ac:dyDescent="0.25">
      <c r="E20" s="651" t="s">
        <v>644</v>
      </c>
      <c r="F20" s="652"/>
      <c r="G20" s="652"/>
      <c r="H20" s="652"/>
      <c r="I20" s="652"/>
      <c r="J20" s="653"/>
      <c r="K20" s="315">
        <v>1</v>
      </c>
      <c r="L20" s="258">
        <v>0.05</v>
      </c>
      <c r="AE20" s="316">
        <f>+T7</f>
        <v>0</v>
      </c>
      <c r="AF20" s="345">
        <f t="shared" si="24"/>
        <v>0</v>
      </c>
      <c r="AG20" s="346">
        <f t="shared" si="18"/>
        <v>0</v>
      </c>
      <c r="BB20" s="316">
        <f>+AQ7</f>
        <v>0</v>
      </c>
      <c r="BC20" s="316">
        <f t="shared" si="19"/>
        <v>0</v>
      </c>
      <c r="BD20" s="345">
        <f t="shared" si="25"/>
        <v>0</v>
      </c>
      <c r="BE20" s="346">
        <f t="shared" si="20"/>
        <v>0</v>
      </c>
      <c r="BL20" s="28"/>
      <c r="BN20"/>
      <c r="BO20" s="28"/>
      <c r="BP20" s="54"/>
      <c r="BY20" s="316">
        <f>+BN7</f>
        <v>0</v>
      </c>
      <c r="BZ20" s="316">
        <f t="shared" si="26"/>
        <v>0</v>
      </c>
      <c r="CA20" s="316">
        <f t="shared" si="27"/>
        <v>0</v>
      </c>
      <c r="CB20" s="345">
        <f t="shared" si="28"/>
        <v>0</v>
      </c>
      <c r="CC20" s="346">
        <f t="shared" si="21"/>
        <v>0</v>
      </c>
      <c r="CD20" s="463"/>
      <c r="CE20" s="54"/>
      <c r="CW20" s="316">
        <f>+CK7</f>
        <v>0</v>
      </c>
      <c r="CX20" s="316">
        <f t="shared" si="29"/>
        <v>0</v>
      </c>
      <c r="CY20" s="316">
        <f t="shared" si="22"/>
        <v>0</v>
      </c>
      <c r="CZ20" s="316">
        <f t="shared" si="23"/>
        <v>0</v>
      </c>
      <c r="DA20" s="472">
        <f t="shared" si="30"/>
        <v>0</v>
      </c>
      <c r="DB20" s="346">
        <f t="shared" si="31"/>
        <v>0</v>
      </c>
      <c r="DC20" s="463"/>
      <c r="DK20" s="28"/>
      <c r="DM20"/>
    </row>
    <row r="21" spans="5:117" ht="15" hidden="1" customHeight="1" x14ac:dyDescent="0.25">
      <c r="E21" s="651" t="s">
        <v>645</v>
      </c>
      <c r="F21" s="652"/>
      <c r="G21" s="652"/>
      <c r="H21" s="652"/>
      <c r="I21" s="652"/>
      <c r="J21" s="653"/>
      <c r="K21" s="315">
        <v>1</v>
      </c>
      <c r="L21" s="258">
        <v>0.05</v>
      </c>
      <c r="AE21" s="316">
        <f>+U7</f>
        <v>0</v>
      </c>
      <c r="AF21" s="345">
        <f t="shared" si="24"/>
        <v>0</v>
      </c>
      <c r="AG21" s="346">
        <f t="shared" si="18"/>
        <v>0</v>
      </c>
      <c r="BB21" s="316">
        <f>+AR7</f>
        <v>0</v>
      </c>
      <c r="BC21" s="316">
        <f t="shared" si="19"/>
        <v>0</v>
      </c>
      <c r="BD21" s="345">
        <f t="shared" si="25"/>
        <v>0</v>
      </c>
      <c r="BE21" s="346">
        <f t="shared" si="20"/>
        <v>0</v>
      </c>
      <c r="BL21" s="28"/>
      <c r="BN21"/>
      <c r="BO21" s="28"/>
      <c r="BP21" s="54"/>
      <c r="BY21" s="316">
        <f>+BO7</f>
        <v>0</v>
      </c>
      <c r="BZ21" s="316">
        <f t="shared" si="26"/>
        <v>0</v>
      </c>
      <c r="CA21" s="316">
        <f t="shared" si="27"/>
        <v>0</v>
      </c>
      <c r="CB21" s="345">
        <f t="shared" si="28"/>
        <v>0</v>
      </c>
      <c r="CC21" s="346">
        <f t="shared" si="21"/>
        <v>0</v>
      </c>
      <c r="CD21" s="463"/>
      <c r="CE21" s="54"/>
      <c r="CW21" s="316">
        <f>+CL7</f>
        <v>0</v>
      </c>
      <c r="CX21" s="316">
        <f t="shared" si="29"/>
        <v>0</v>
      </c>
      <c r="CY21" s="316">
        <f t="shared" si="22"/>
        <v>0</v>
      </c>
      <c r="CZ21" s="316">
        <f t="shared" si="23"/>
        <v>0</v>
      </c>
      <c r="DA21" s="472">
        <f t="shared" si="30"/>
        <v>0</v>
      </c>
      <c r="DB21" s="346">
        <f t="shared" si="31"/>
        <v>0</v>
      </c>
      <c r="DC21" s="463"/>
      <c r="DK21" s="28"/>
      <c r="DM21"/>
    </row>
    <row r="22" spans="5:117" ht="15" hidden="1" customHeight="1" x14ac:dyDescent="0.25">
      <c r="E22" s="651" t="s">
        <v>646</v>
      </c>
      <c r="F22" s="652"/>
      <c r="G22" s="652"/>
      <c r="H22" s="652"/>
      <c r="I22" s="652"/>
      <c r="J22" s="653"/>
      <c r="K22" s="315">
        <v>1</v>
      </c>
      <c r="L22" s="258">
        <v>0.05</v>
      </c>
      <c r="AE22" s="316">
        <f>+V7</f>
        <v>0</v>
      </c>
      <c r="AF22" s="345">
        <f t="shared" si="24"/>
        <v>0</v>
      </c>
      <c r="AG22" s="346">
        <f t="shared" si="18"/>
        <v>0</v>
      </c>
      <c r="BB22" s="316">
        <f>+AS7</f>
        <v>0</v>
      </c>
      <c r="BC22" s="316">
        <f t="shared" si="19"/>
        <v>0</v>
      </c>
      <c r="BD22" s="345">
        <f t="shared" si="25"/>
        <v>0</v>
      </c>
      <c r="BE22" s="346">
        <f t="shared" si="20"/>
        <v>0</v>
      </c>
      <c r="BL22" s="28"/>
      <c r="BN22"/>
      <c r="BO22" s="28"/>
      <c r="BP22" s="54"/>
      <c r="BY22" s="316">
        <f>+BP7</f>
        <v>0</v>
      </c>
      <c r="BZ22" s="316">
        <f t="shared" si="26"/>
        <v>0</v>
      </c>
      <c r="CA22" s="316">
        <f t="shared" si="27"/>
        <v>0</v>
      </c>
      <c r="CB22" s="345">
        <f t="shared" si="28"/>
        <v>0</v>
      </c>
      <c r="CC22" s="346">
        <f t="shared" si="21"/>
        <v>0</v>
      </c>
      <c r="CD22" s="463"/>
      <c r="CE22" s="54"/>
      <c r="CW22" s="316">
        <f>+CM7</f>
        <v>0</v>
      </c>
      <c r="CX22" s="316">
        <f t="shared" si="29"/>
        <v>0</v>
      </c>
      <c r="CY22" s="316">
        <f t="shared" si="22"/>
        <v>0</v>
      </c>
      <c r="CZ22" s="316">
        <f t="shared" si="23"/>
        <v>0</v>
      </c>
      <c r="DA22" s="472">
        <f t="shared" si="30"/>
        <v>0</v>
      </c>
      <c r="DB22" s="346">
        <f t="shared" si="31"/>
        <v>0</v>
      </c>
      <c r="DC22" s="463"/>
      <c r="DK22" s="28"/>
      <c r="DM22"/>
    </row>
    <row r="23" spans="5:117" ht="15" hidden="1" customHeight="1" x14ac:dyDescent="0.25">
      <c r="E23" s="651" t="s">
        <v>647</v>
      </c>
      <c r="F23" s="652"/>
      <c r="G23" s="652"/>
      <c r="H23" s="652"/>
      <c r="I23" s="652"/>
      <c r="J23" s="653"/>
      <c r="K23" s="315">
        <v>1</v>
      </c>
      <c r="L23" s="258">
        <v>0.05</v>
      </c>
      <c r="AE23" s="316">
        <f>+W7</f>
        <v>0</v>
      </c>
      <c r="AF23" s="345">
        <f t="shared" si="24"/>
        <v>0</v>
      </c>
      <c r="AG23" s="346">
        <f t="shared" si="18"/>
        <v>0</v>
      </c>
      <c r="BB23" s="316">
        <f>+AT7</f>
        <v>0</v>
      </c>
      <c r="BC23" s="316">
        <f t="shared" si="19"/>
        <v>0</v>
      </c>
      <c r="BD23" s="345">
        <f t="shared" si="25"/>
        <v>0</v>
      </c>
      <c r="BE23" s="346">
        <f t="shared" si="20"/>
        <v>0</v>
      </c>
      <c r="BL23" s="28"/>
      <c r="BN23"/>
      <c r="BO23" s="28"/>
      <c r="BP23" s="54"/>
      <c r="BY23" s="316">
        <f>+BQ7</f>
        <v>0</v>
      </c>
      <c r="BZ23" s="316">
        <f t="shared" si="26"/>
        <v>0</v>
      </c>
      <c r="CA23" s="316">
        <f t="shared" si="27"/>
        <v>0</v>
      </c>
      <c r="CB23" s="345">
        <f t="shared" si="28"/>
        <v>0</v>
      </c>
      <c r="CC23" s="346">
        <f t="shared" si="21"/>
        <v>0</v>
      </c>
      <c r="CD23" s="463"/>
      <c r="CE23" s="54"/>
      <c r="CW23" s="316">
        <f>+CN7</f>
        <v>0</v>
      </c>
      <c r="CX23" s="316">
        <f t="shared" si="29"/>
        <v>0</v>
      </c>
      <c r="CY23" s="316">
        <f t="shared" si="22"/>
        <v>0</v>
      </c>
      <c r="CZ23" s="316">
        <f t="shared" si="23"/>
        <v>0</v>
      </c>
      <c r="DA23" s="472">
        <f t="shared" si="30"/>
        <v>0</v>
      </c>
      <c r="DB23" s="346">
        <f t="shared" si="31"/>
        <v>0</v>
      </c>
      <c r="DC23" s="463"/>
      <c r="DK23" s="28"/>
      <c r="DM23"/>
    </row>
    <row r="24" spans="5:117" ht="15" hidden="1" customHeight="1" x14ac:dyDescent="0.25">
      <c r="E24" s="651" t="s">
        <v>648</v>
      </c>
      <c r="F24" s="652"/>
      <c r="G24" s="652"/>
      <c r="H24" s="652"/>
      <c r="I24" s="652"/>
      <c r="J24" s="653"/>
      <c r="K24" s="315">
        <v>1</v>
      </c>
      <c r="L24" s="258">
        <v>0.05</v>
      </c>
      <c r="AE24" s="316">
        <f>+X7</f>
        <v>0</v>
      </c>
      <c r="AF24" s="345">
        <f t="shared" si="24"/>
        <v>0</v>
      </c>
      <c r="AG24" s="346">
        <f t="shared" si="18"/>
        <v>0</v>
      </c>
      <c r="BB24" s="316">
        <f>+AU7</f>
        <v>0</v>
      </c>
      <c r="BC24" s="316">
        <f t="shared" si="19"/>
        <v>0</v>
      </c>
      <c r="BD24" s="345">
        <f t="shared" si="25"/>
        <v>0</v>
      </c>
      <c r="BE24" s="346">
        <f t="shared" si="20"/>
        <v>0</v>
      </c>
      <c r="BL24" s="28"/>
      <c r="BN24"/>
      <c r="BO24" s="28"/>
      <c r="BP24" s="54"/>
      <c r="BY24" s="316">
        <f>+BR7</f>
        <v>0</v>
      </c>
      <c r="BZ24" s="316">
        <f t="shared" si="26"/>
        <v>0</v>
      </c>
      <c r="CA24" s="316">
        <f t="shared" si="27"/>
        <v>0</v>
      </c>
      <c r="CB24" s="345">
        <f t="shared" si="28"/>
        <v>0</v>
      </c>
      <c r="CC24" s="346">
        <f t="shared" si="21"/>
        <v>0</v>
      </c>
      <c r="CD24" s="463"/>
      <c r="CE24" s="54"/>
      <c r="CW24" s="316">
        <f>+CO7</f>
        <v>0</v>
      </c>
      <c r="CX24" s="316">
        <f t="shared" si="29"/>
        <v>0</v>
      </c>
      <c r="CY24" s="316">
        <f t="shared" si="22"/>
        <v>0</v>
      </c>
      <c r="CZ24" s="316">
        <f t="shared" si="23"/>
        <v>0</v>
      </c>
      <c r="DA24" s="472">
        <f t="shared" si="30"/>
        <v>0</v>
      </c>
      <c r="DB24" s="346">
        <f t="shared" si="31"/>
        <v>0</v>
      </c>
      <c r="DC24" s="463"/>
      <c r="DK24" s="28"/>
      <c r="DM24"/>
    </row>
    <row r="25" spans="5:117" ht="15" hidden="1" customHeight="1" x14ac:dyDescent="0.25">
      <c r="E25" s="651" t="s">
        <v>649</v>
      </c>
      <c r="F25" s="652"/>
      <c r="G25" s="652"/>
      <c r="H25" s="652"/>
      <c r="I25" s="652"/>
      <c r="J25" s="653"/>
      <c r="K25" s="315">
        <v>1</v>
      </c>
      <c r="L25" s="258">
        <v>0.05</v>
      </c>
      <c r="AE25" s="316">
        <f>+Y7</f>
        <v>0</v>
      </c>
      <c r="AF25" s="345">
        <f t="shared" si="24"/>
        <v>0</v>
      </c>
      <c r="AG25" s="346">
        <f>+IFERROR(IF(AF25=100%,L25,(+AF25*L25)),"-")</f>
        <v>0</v>
      </c>
      <c r="BB25" s="316">
        <f>+AV7</f>
        <v>0</v>
      </c>
      <c r="BC25" s="316">
        <f t="shared" si="19"/>
        <v>0</v>
      </c>
      <c r="BD25" s="345">
        <f t="shared" si="25"/>
        <v>0</v>
      </c>
      <c r="BE25" s="346">
        <f t="shared" ref="BE25:BE32" si="32">+IFERROR(IF(BD25=100%,L25,(+BD25*L25)),"-")</f>
        <v>0</v>
      </c>
      <c r="BL25" s="28"/>
      <c r="BN25"/>
      <c r="BO25" s="28"/>
      <c r="BP25" s="54"/>
      <c r="BY25" s="316">
        <f>+BS7</f>
        <v>0</v>
      </c>
      <c r="BZ25" s="316">
        <f t="shared" si="26"/>
        <v>0</v>
      </c>
      <c r="CA25" s="316">
        <f t="shared" si="27"/>
        <v>0</v>
      </c>
      <c r="CB25" s="345">
        <f t="shared" si="28"/>
        <v>0</v>
      </c>
      <c r="CC25" s="346">
        <f t="shared" si="21"/>
        <v>0</v>
      </c>
      <c r="CD25" s="463"/>
      <c r="CE25" s="54"/>
      <c r="CW25" s="316">
        <f>+CP7</f>
        <v>0</v>
      </c>
      <c r="CX25" s="316">
        <f t="shared" si="29"/>
        <v>0</v>
      </c>
      <c r="CY25" s="316">
        <f t="shared" si="22"/>
        <v>0</v>
      </c>
      <c r="CZ25" s="316">
        <f t="shared" si="23"/>
        <v>0</v>
      </c>
      <c r="DA25" s="472">
        <f t="shared" si="30"/>
        <v>0</v>
      </c>
      <c r="DB25" s="346">
        <f t="shared" si="31"/>
        <v>0</v>
      </c>
      <c r="DC25" s="463"/>
      <c r="DK25" s="28"/>
      <c r="DM25"/>
    </row>
    <row r="26" spans="5:117" ht="15" hidden="1" customHeight="1" x14ac:dyDescent="0.25">
      <c r="E26" s="651" t="s">
        <v>650</v>
      </c>
      <c r="F26" s="652"/>
      <c r="G26" s="652"/>
      <c r="H26" s="652"/>
      <c r="I26" s="652"/>
      <c r="J26" s="653"/>
      <c r="K26" s="315">
        <v>1</v>
      </c>
      <c r="L26" s="258">
        <v>0.05</v>
      </c>
      <c r="AE26" s="316">
        <f>+Z7</f>
        <v>0</v>
      </c>
      <c r="AF26" s="464">
        <f t="shared" si="24"/>
        <v>0</v>
      </c>
      <c r="AG26" s="346">
        <f t="shared" ref="AG26:AG32" si="33">+IFERROR(IF(AF26=100%,L26,(+AF26*L26)),"-")</f>
        <v>0</v>
      </c>
      <c r="BB26" s="316">
        <f>+AW7</f>
        <v>0</v>
      </c>
      <c r="BC26" s="316">
        <f t="shared" si="19"/>
        <v>0</v>
      </c>
      <c r="BD26" s="345">
        <f t="shared" si="25"/>
        <v>0</v>
      </c>
      <c r="BE26" s="346">
        <f t="shared" si="32"/>
        <v>0</v>
      </c>
      <c r="BL26" s="28"/>
      <c r="BN26"/>
      <c r="BO26" s="28"/>
      <c r="BP26" s="54"/>
      <c r="BY26" s="316">
        <f>+BT7</f>
        <v>0</v>
      </c>
      <c r="BZ26" s="316">
        <f t="shared" si="26"/>
        <v>0</v>
      </c>
      <c r="CA26" s="316">
        <f t="shared" si="27"/>
        <v>0</v>
      </c>
      <c r="CB26" s="345">
        <f t="shared" si="28"/>
        <v>0</v>
      </c>
      <c r="CC26" s="346">
        <f t="shared" si="21"/>
        <v>0</v>
      </c>
      <c r="CD26" s="463"/>
      <c r="CE26" s="54"/>
      <c r="CW26" s="316">
        <f>+CQ7</f>
        <v>0</v>
      </c>
      <c r="CX26" s="316">
        <f t="shared" si="29"/>
        <v>0</v>
      </c>
      <c r="CY26" s="316">
        <f t="shared" si="22"/>
        <v>0</v>
      </c>
      <c r="CZ26" s="316">
        <f t="shared" si="23"/>
        <v>0</v>
      </c>
      <c r="DA26" s="472">
        <f t="shared" si="30"/>
        <v>0</v>
      </c>
      <c r="DB26" s="346">
        <f t="shared" si="31"/>
        <v>0</v>
      </c>
      <c r="DC26" s="463"/>
      <c r="DK26" s="28"/>
      <c r="DM26"/>
    </row>
    <row r="27" spans="5:117" ht="15" hidden="1" customHeight="1" x14ac:dyDescent="0.25">
      <c r="E27" s="454" t="s">
        <v>792</v>
      </c>
      <c r="F27" s="455"/>
      <c r="G27" s="455"/>
      <c r="H27" s="455"/>
      <c r="I27" s="455"/>
      <c r="J27" s="456"/>
      <c r="K27" s="315">
        <v>1</v>
      </c>
      <c r="L27" s="258">
        <v>0.05</v>
      </c>
      <c r="M27" s="352"/>
      <c r="AE27" s="316">
        <f>+AA7</f>
        <v>0</v>
      </c>
      <c r="AF27" s="345">
        <f t="shared" si="24"/>
        <v>0</v>
      </c>
      <c r="AG27" s="346">
        <f t="shared" si="33"/>
        <v>0</v>
      </c>
      <c r="BB27" s="316">
        <f>+AX7</f>
        <v>0</v>
      </c>
      <c r="BC27" s="316">
        <f t="shared" si="19"/>
        <v>0</v>
      </c>
      <c r="BD27" s="345">
        <f t="shared" si="25"/>
        <v>0</v>
      </c>
      <c r="BE27" s="346">
        <f t="shared" si="32"/>
        <v>0</v>
      </c>
      <c r="BL27" s="28"/>
      <c r="BN27"/>
      <c r="BO27" s="28"/>
      <c r="BP27" s="54"/>
      <c r="BY27" s="316">
        <f>+BU7</f>
        <v>0</v>
      </c>
      <c r="BZ27" s="316">
        <f t="shared" si="26"/>
        <v>0</v>
      </c>
      <c r="CA27" s="316">
        <f t="shared" si="27"/>
        <v>0</v>
      </c>
      <c r="CB27" s="345">
        <f t="shared" si="28"/>
        <v>0</v>
      </c>
      <c r="CC27" s="346">
        <f t="shared" si="21"/>
        <v>0</v>
      </c>
      <c r="CD27" s="463"/>
      <c r="CE27" s="54"/>
      <c r="CW27" s="316">
        <f>+CR7</f>
        <v>0</v>
      </c>
      <c r="CX27" s="316">
        <f t="shared" si="29"/>
        <v>0</v>
      </c>
      <c r="CY27" s="316">
        <f t="shared" si="22"/>
        <v>0</v>
      </c>
      <c r="CZ27" s="316">
        <f t="shared" si="23"/>
        <v>0</v>
      </c>
      <c r="DA27" s="472">
        <f t="shared" si="30"/>
        <v>0</v>
      </c>
      <c r="DB27" s="346">
        <f t="shared" si="31"/>
        <v>0</v>
      </c>
      <c r="DC27" s="463"/>
      <c r="DK27" s="28"/>
      <c r="DM27"/>
    </row>
    <row r="28" spans="5:117" hidden="1" x14ac:dyDescent="0.25">
      <c r="E28" s="454" t="s">
        <v>721</v>
      </c>
      <c r="F28" s="455"/>
      <c r="G28" s="455"/>
      <c r="H28" s="455"/>
      <c r="I28" s="455"/>
      <c r="J28" s="456"/>
      <c r="K28" s="315">
        <v>1</v>
      </c>
      <c r="L28" s="258">
        <v>0.05</v>
      </c>
      <c r="M28" s="352"/>
      <c r="AE28" s="316">
        <f>+AB7</f>
        <v>0</v>
      </c>
      <c r="AF28" s="345">
        <f t="shared" si="24"/>
        <v>0</v>
      </c>
      <c r="AG28" s="346">
        <f t="shared" si="33"/>
        <v>0</v>
      </c>
      <c r="BB28" s="316">
        <f>+AY7</f>
        <v>0</v>
      </c>
      <c r="BC28" s="316">
        <f t="shared" si="19"/>
        <v>0</v>
      </c>
      <c r="BD28" s="345">
        <f t="shared" si="25"/>
        <v>0</v>
      </c>
      <c r="BE28" s="346">
        <f t="shared" si="32"/>
        <v>0</v>
      </c>
      <c r="BL28" s="28"/>
      <c r="BN28"/>
      <c r="BO28" s="28"/>
      <c r="BP28" s="54"/>
      <c r="BY28" s="316">
        <f>+BV7</f>
        <v>0</v>
      </c>
      <c r="BZ28" s="316">
        <f t="shared" si="26"/>
        <v>0</v>
      </c>
      <c r="CA28" s="316">
        <f t="shared" si="27"/>
        <v>0</v>
      </c>
      <c r="CB28" s="345">
        <f t="shared" si="28"/>
        <v>0</v>
      </c>
      <c r="CC28" s="346">
        <f t="shared" si="21"/>
        <v>0</v>
      </c>
      <c r="CD28" s="463"/>
      <c r="CE28" s="54"/>
      <c r="CW28" s="316">
        <f>+CS7</f>
        <v>0</v>
      </c>
      <c r="CX28" s="316">
        <f t="shared" si="29"/>
        <v>0</v>
      </c>
      <c r="CY28" s="316">
        <f t="shared" ref="CY28:CY32" si="34">+BB28</f>
        <v>0</v>
      </c>
      <c r="CZ28" s="316">
        <f t="shared" ref="CZ28:CZ32" si="35">+BY28</f>
        <v>0</v>
      </c>
      <c r="DA28" s="472">
        <f t="shared" si="30"/>
        <v>0</v>
      </c>
      <c r="DB28" s="346">
        <f>+IF(DA28=100%,L28,(+DA28*L28))</f>
        <v>0</v>
      </c>
      <c r="DC28" s="463"/>
      <c r="DK28" s="28"/>
      <c r="DM28"/>
    </row>
    <row r="29" spans="5:117" hidden="1" x14ac:dyDescent="0.25">
      <c r="E29" s="454" t="s">
        <v>722</v>
      </c>
      <c r="F29" s="455"/>
      <c r="G29" s="455"/>
      <c r="H29" s="455"/>
      <c r="I29" s="455"/>
      <c r="J29" s="456"/>
      <c r="K29" s="315">
        <v>1</v>
      </c>
      <c r="L29" s="258">
        <v>0.05</v>
      </c>
      <c r="M29" s="352"/>
      <c r="AE29" s="316">
        <f>+AC7</f>
        <v>0</v>
      </c>
      <c r="AF29" s="345">
        <f t="shared" si="24"/>
        <v>0</v>
      </c>
      <c r="AG29" s="346">
        <f t="shared" si="33"/>
        <v>0</v>
      </c>
      <c r="BB29" s="316">
        <f>+AZ7</f>
        <v>0</v>
      </c>
      <c r="BC29" s="316">
        <f t="shared" si="19"/>
        <v>0</v>
      </c>
      <c r="BD29" s="345">
        <f t="shared" si="25"/>
        <v>0</v>
      </c>
      <c r="BE29" s="346">
        <f t="shared" si="32"/>
        <v>0</v>
      </c>
      <c r="BL29" s="28"/>
      <c r="BN29"/>
      <c r="BO29" s="28"/>
      <c r="BP29" s="54"/>
      <c r="BY29" s="316">
        <f>+BW7</f>
        <v>0</v>
      </c>
      <c r="BZ29" s="316">
        <f t="shared" si="26"/>
        <v>0</v>
      </c>
      <c r="CA29" s="316">
        <f>+BB29</f>
        <v>0</v>
      </c>
      <c r="CB29" s="345">
        <f t="shared" si="28"/>
        <v>0</v>
      </c>
      <c r="CC29" s="346">
        <f t="shared" si="21"/>
        <v>0</v>
      </c>
      <c r="CD29" s="463"/>
      <c r="CE29" s="54"/>
      <c r="CW29" s="316">
        <f>+CT7</f>
        <v>0</v>
      </c>
      <c r="CX29" s="316">
        <f t="shared" si="29"/>
        <v>0</v>
      </c>
      <c r="CY29" s="316">
        <f t="shared" si="34"/>
        <v>0</v>
      </c>
      <c r="CZ29" s="316">
        <f t="shared" si="35"/>
        <v>0</v>
      </c>
      <c r="DA29" s="472">
        <f t="shared" si="30"/>
        <v>0</v>
      </c>
      <c r="DB29" s="346">
        <f>+IF(DA29=100%,L29,(+DA29*L29))</f>
        <v>0</v>
      </c>
      <c r="DC29" s="463"/>
      <c r="DK29" s="28"/>
      <c r="DM29"/>
    </row>
    <row r="30" spans="5:117" x14ac:dyDescent="0.25">
      <c r="E30" s="454" t="s">
        <v>723</v>
      </c>
      <c r="F30" s="455"/>
      <c r="G30" s="455"/>
      <c r="H30" s="455"/>
      <c r="I30" s="455"/>
      <c r="J30" s="456"/>
      <c r="K30" s="315">
        <v>1</v>
      </c>
      <c r="L30" s="258">
        <v>0.05</v>
      </c>
      <c r="M30" s="352"/>
      <c r="AE30" s="316">
        <f>+AD7</f>
        <v>0</v>
      </c>
      <c r="AF30" s="345">
        <f t="shared" si="24"/>
        <v>0</v>
      </c>
      <c r="AG30" s="346">
        <f t="shared" si="33"/>
        <v>0</v>
      </c>
      <c r="BB30" s="316">
        <f>+BA7</f>
        <v>0</v>
      </c>
      <c r="BC30" s="316">
        <f t="shared" si="19"/>
        <v>0</v>
      </c>
      <c r="BD30" s="345">
        <f t="shared" si="25"/>
        <v>0</v>
      </c>
      <c r="BE30" s="346">
        <f t="shared" si="32"/>
        <v>0</v>
      </c>
      <c r="BL30" s="28"/>
      <c r="BN30"/>
      <c r="BO30" s="28"/>
      <c r="BP30" s="54"/>
      <c r="BY30" s="316">
        <f>+BX7</f>
        <v>0</v>
      </c>
      <c r="BZ30" s="316">
        <f t="shared" si="26"/>
        <v>0</v>
      </c>
      <c r="CA30" s="316">
        <f t="shared" si="27"/>
        <v>0</v>
      </c>
      <c r="CB30" s="345">
        <f t="shared" si="28"/>
        <v>0</v>
      </c>
      <c r="CC30" s="346">
        <f t="shared" si="21"/>
        <v>0</v>
      </c>
      <c r="CD30" s="463"/>
      <c r="CE30" s="54"/>
      <c r="CW30" s="316">
        <f>+CU7</f>
        <v>0</v>
      </c>
      <c r="CX30" s="316">
        <f t="shared" si="29"/>
        <v>0</v>
      </c>
      <c r="CY30" s="316">
        <f t="shared" si="34"/>
        <v>0</v>
      </c>
      <c r="CZ30" s="316">
        <f t="shared" si="35"/>
        <v>0</v>
      </c>
      <c r="DA30" s="472">
        <f t="shared" si="30"/>
        <v>0</v>
      </c>
      <c r="DB30" s="346">
        <f>+IF(DA30=100%,L30,(+DA30*L30))</f>
        <v>0</v>
      </c>
      <c r="DC30" s="463"/>
      <c r="DK30" s="28"/>
      <c r="DM30"/>
    </row>
    <row r="31" spans="5:117" x14ac:dyDescent="0.25">
      <c r="E31" s="454" t="s">
        <v>793</v>
      </c>
      <c r="F31" s="455"/>
      <c r="G31" s="455"/>
      <c r="H31" s="455"/>
      <c r="I31" s="455"/>
      <c r="J31" s="456"/>
      <c r="K31" s="315">
        <v>1</v>
      </c>
      <c r="L31" s="258">
        <v>0.05</v>
      </c>
      <c r="M31" s="352"/>
      <c r="AE31" s="316">
        <f>+AE7</f>
        <v>0</v>
      </c>
      <c r="AF31" s="345">
        <f t="shared" si="24"/>
        <v>0</v>
      </c>
      <c r="AG31" s="346">
        <f t="shared" si="33"/>
        <v>0</v>
      </c>
      <c r="BB31" s="316">
        <f>+BB7</f>
        <v>0</v>
      </c>
      <c r="BC31" s="316">
        <f t="shared" si="19"/>
        <v>0</v>
      </c>
      <c r="BD31" s="345">
        <f t="shared" si="25"/>
        <v>0</v>
      </c>
      <c r="BE31" s="346">
        <f t="shared" si="32"/>
        <v>0</v>
      </c>
      <c r="BL31" s="28"/>
      <c r="BN31"/>
      <c r="BO31" s="28"/>
      <c r="BP31" s="54"/>
      <c r="BY31" s="316">
        <f>+BY7</f>
        <v>0</v>
      </c>
      <c r="BZ31" s="316">
        <f t="shared" si="26"/>
        <v>0</v>
      </c>
      <c r="CA31" s="316">
        <f t="shared" si="27"/>
        <v>0</v>
      </c>
      <c r="CB31" s="345">
        <f t="shared" si="28"/>
        <v>0</v>
      </c>
      <c r="CC31" s="346">
        <f t="shared" si="21"/>
        <v>0</v>
      </c>
      <c r="CD31" s="463"/>
      <c r="CE31" s="54"/>
      <c r="CW31" s="316">
        <f>+CV7</f>
        <v>0</v>
      </c>
      <c r="CX31" s="316">
        <f t="shared" si="29"/>
        <v>0</v>
      </c>
      <c r="CY31" s="316">
        <f t="shared" si="34"/>
        <v>0</v>
      </c>
      <c r="CZ31" s="316">
        <f t="shared" si="35"/>
        <v>0</v>
      </c>
      <c r="DA31" s="472">
        <f t="shared" si="30"/>
        <v>0</v>
      </c>
      <c r="DB31" s="346">
        <f>+IF(DA31=100%,L31,(+DA31*L31))</f>
        <v>0</v>
      </c>
      <c r="DC31" s="463"/>
      <c r="DK31" s="28"/>
      <c r="DM31"/>
    </row>
    <row r="32" spans="5:117" x14ac:dyDescent="0.25">
      <c r="E32" s="651" t="s">
        <v>794</v>
      </c>
      <c r="F32" s="652"/>
      <c r="G32" s="652"/>
      <c r="H32" s="652"/>
      <c r="I32" s="652"/>
      <c r="J32" s="653"/>
      <c r="K32" s="315">
        <v>1</v>
      </c>
      <c r="L32" s="258">
        <v>0.05</v>
      </c>
      <c r="M32" s="352"/>
      <c r="AE32" s="316">
        <f>+AF7</f>
        <v>0</v>
      </c>
      <c r="AF32" s="345">
        <f t="shared" si="24"/>
        <v>0</v>
      </c>
      <c r="AG32" s="346">
        <f t="shared" si="33"/>
        <v>0</v>
      </c>
      <c r="BB32" s="316">
        <f>+BC7</f>
        <v>0</v>
      </c>
      <c r="BC32" s="316">
        <f t="shared" si="19"/>
        <v>0</v>
      </c>
      <c r="BD32" s="345">
        <f t="shared" si="25"/>
        <v>0</v>
      </c>
      <c r="BE32" s="346">
        <f t="shared" si="32"/>
        <v>0</v>
      </c>
      <c r="BL32" s="28"/>
      <c r="BN32"/>
      <c r="BO32" s="28"/>
      <c r="BP32" s="54"/>
      <c r="BY32" s="316">
        <f>+BZ7</f>
        <v>0</v>
      </c>
      <c r="BZ32" s="316">
        <f t="shared" si="26"/>
        <v>0</v>
      </c>
      <c r="CA32" s="316">
        <f t="shared" si="27"/>
        <v>0</v>
      </c>
      <c r="CB32" s="345">
        <f t="shared" si="28"/>
        <v>0</v>
      </c>
      <c r="CC32" s="346">
        <f t="shared" si="21"/>
        <v>0</v>
      </c>
      <c r="CD32" s="463"/>
      <c r="CE32" s="54"/>
      <c r="CW32" s="316">
        <f>+CW7</f>
        <v>0</v>
      </c>
      <c r="CX32" s="316">
        <f t="shared" si="29"/>
        <v>0</v>
      </c>
      <c r="CY32" s="316">
        <f t="shared" si="34"/>
        <v>0</v>
      </c>
      <c r="CZ32" s="316">
        <f t="shared" si="35"/>
        <v>0</v>
      </c>
      <c r="DA32" s="472">
        <f t="shared" si="30"/>
        <v>0</v>
      </c>
      <c r="DB32" s="346">
        <f>+IF(DA32=100%,L32,(+DA32*L32))</f>
        <v>0</v>
      </c>
      <c r="DC32" s="463"/>
      <c r="DK32" s="28"/>
      <c r="DM32"/>
    </row>
    <row r="33" spans="5:121" ht="18" customHeight="1" x14ac:dyDescent="0.25">
      <c r="E33" s="651"/>
      <c r="F33" s="652"/>
      <c r="G33" s="652"/>
      <c r="H33" s="652"/>
      <c r="I33" s="652"/>
      <c r="J33" s="653"/>
      <c r="L33" s="452">
        <f>SUM(L13:L32)</f>
        <v>1.0000000000000002</v>
      </c>
      <c r="M33" s="352"/>
      <c r="AG33" s="465">
        <f>SUM(AG31:AG32)</f>
        <v>0</v>
      </c>
      <c r="BE33" s="347">
        <f>SUM(BE13:BE31)</f>
        <v>0</v>
      </c>
      <c r="BL33" s="28"/>
      <c r="BN33"/>
      <c r="BO33" s="28"/>
      <c r="BP33" s="54"/>
      <c r="CC33" s="347">
        <f>SUM(CC13:CC31)</f>
        <v>0</v>
      </c>
      <c r="CD33" s="470"/>
      <c r="CE33" s="54"/>
      <c r="CW33"/>
      <c r="CX33"/>
      <c r="CY33"/>
      <c r="CZ33" s="462" t="str">
        <f>IFERROR(IF(AVERAGE(#REF!)&gt;=0.4,1,(AVERAGE(#REF!)*100%)/0.4),"-")</f>
        <v>-</v>
      </c>
      <c r="DB33" s="347">
        <f>SUM(DB13:DB31)</f>
        <v>0</v>
      </c>
      <c r="DC33" s="463"/>
      <c r="DK33" s="28"/>
      <c r="DM33"/>
    </row>
    <row r="34" spans="5:121" x14ac:dyDescent="0.25">
      <c r="F34" s="654"/>
      <c r="G34" s="654"/>
      <c r="H34" s="654"/>
      <c r="I34" s="654"/>
      <c r="J34" s="654"/>
      <c r="K34" s="654"/>
      <c r="BL34" s="28"/>
      <c r="BN34"/>
      <c r="BO34" s="28"/>
      <c r="BP34" s="54"/>
      <c r="CD34" s="28"/>
      <c r="CE34" s="54"/>
      <c r="CV34" s="54"/>
      <c r="CW34" s="352"/>
      <c r="CX34" s="352"/>
      <c r="CY34" s="352"/>
      <c r="DB34" s="26"/>
      <c r="DK34" s="28"/>
      <c r="DL34" s="28"/>
      <c r="DP34"/>
      <c r="DQ34"/>
    </row>
    <row r="35" spans="5:121" x14ac:dyDescent="0.25">
      <c r="F35" s="654"/>
      <c r="G35" s="654"/>
      <c r="H35" s="654"/>
      <c r="I35" s="654"/>
      <c r="J35" s="654"/>
      <c r="K35" s="654"/>
      <c r="P35" s="36"/>
      <c r="AM35" s="36"/>
      <c r="BP35" s="54"/>
      <c r="CG35" s="36"/>
      <c r="CR35" s="54"/>
      <c r="CS35" s="54"/>
      <c r="CT35" s="54"/>
      <c r="DK35" s="28"/>
      <c r="DL35" s="28"/>
      <c r="DN35"/>
      <c r="DO35"/>
    </row>
    <row r="36" spans="5:121" x14ac:dyDescent="0.25">
      <c r="F36" s="654"/>
      <c r="G36" s="654"/>
      <c r="H36" s="654"/>
      <c r="I36" s="654"/>
      <c r="J36" s="654"/>
      <c r="K36" s="654"/>
    </row>
  </sheetData>
  <mergeCells count="56">
    <mergeCell ref="BF8:BF9"/>
    <mergeCell ref="E23:J23"/>
    <mergeCell ref="A8:K8"/>
    <mergeCell ref="E19:J19"/>
    <mergeCell ref="E20:J20"/>
    <mergeCell ref="E21:J21"/>
    <mergeCell ref="E22:J22"/>
    <mergeCell ref="AI8:AI9"/>
    <mergeCell ref="E12:J12"/>
    <mergeCell ref="E13:J13"/>
    <mergeCell ref="E14:J14"/>
    <mergeCell ref="E15:J15"/>
    <mergeCell ref="E16:J16"/>
    <mergeCell ref="DG1:DI2"/>
    <mergeCell ref="CZ5:CZ6"/>
    <mergeCell ref="K5:K6"/>
    <mergeCell ref="DF5:DI5"/>
    <mergeCell ref="CB5:CB6"/>
    <mergeCell ref="DG3:DI3"/>
    <mergeCell ref="CX5:CX6"/>
    <mergeCell ref="CY5:CY6"/>
    <mergeCell ref="BE5:BE6"/>
    <mergeCell ref="CA5:CA6"/>
    <mergeCell ref="C1:DF1"/>
    <mergeCell ref="C2:DF3"/>
    <mergeCell ref="L5:L6"/>
    <mergeCell ref="BF5:BF6"/>
    <mergeCell ref="CC5:CC6"/>
    <mergeCell ref="DA5:DE5"/>
    <mergeCell ref="BD5:BD6"/>
    <mergeCell ref="J5:J6"/>
    <mergeCell ref="E5:E6"/>
    <mergeCell ref="F5:F6"/>
    <mergeCell ref="G5:G6"/>
    <mergeCell ref="H5:H6"/>
    <mergeCell ref="I5:I6"/>
    <mergeCell ref="AG5:AG6"/>
    <mergeCell ref="AH5:AH6"/>
    <mergeCell ref="AI5:AI6"/>
    <mergeCell ref="A1:B1"/>
    <mergeCell ref="A4:D4"/>
    <mergeCell ref="A5:A6"/>
    <mergeCell ref="B5:B6"/>
    <mergeCell ref="C5:C6"/>
    <mergeCell ref="D5:D6"/>
    <mergeCell ref="A2:B3"/>
    <mergeCell ref="E25:J25"/>
    <mergeCell ref="E26:J26"/>
    <mergeCell ref="E17:J17"/>
    <mergeCell ref="E18:J18"/>
    <mergeCell ref="E24:J24"/>
    <mergeCell ref="E33:J33"/>
    <mergeCell ref="E32:J32"/>
    <mergeCell ref="F34:K34"/>
    <mergeCell ref="F35:K35"/>
    <mergeCell ref="F36:K36"/>
  </mergeCells>
  <conditionalFormatting sqref="DA7:DE7 DE8">
    <cfRule type="cellIs" dxfId="56" priority="1" operator="lessThan">
      <formula>0.6</formula>
    </cfRule>
    <cfRule type="cellIs" dxfId="55" priority="2" operator="between">
      <formula>60%</formula>
      <formula>79%</formula>
    </cfRule>
    <cfRule type="cellIs" dxfId="54" priority="3" operator="between">
      <formula>80%</formula>
      <formula>100%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BH27"/>
  <sheetViews>
    <sheetView topLeftCell="C16" zoomScale="80" zoomScaleNormal="80" workbookViewId="0">
      <selection activeCell="D24" sqref="D24"/>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7" max="7" width="21.42578125" customWidth="1"/>
    <col min="8" max="8" width="32.5703125" style="63" customWidth="1"/>
    <col min="9" max="9" width="17.7109375" style="63" customWidth="1"/>
    <col min="10" max="10" width="13.28515625" style="63" customWidth="1"/>
    <col min="11" max="11" width="14.42578125" style="63" customWidth="1"/>
    <col min="12" max="12" width="13" customWidth="1"/>
    <col min="13" max="19" width="19.42578125" customWidth="1"/>
    <col min="20" max="20" width="24.5703125" customWidth="1"/>
    <col min="21" max="21" width="36.28515625" customWidth="1"/>
    <col min="22" max="29" width="19.42578125" customWidth="1"/>
    <col min="30" max="30" width="24.5703125" customWidth="1"/>
    <col min="31" max="31" width="36.28515625" customWidth="1"/>
    <col min="32" max="39" width="19.42578125" customWidth="1"/>
    <col min="40" max="40" width="28.85546875" customWidth="1"/>
    <col min="41" max="41" width="21.85546875" customWidth="1"/>
    <col min="42" max="48" width="19.42578125" customWidth="1"/>
    <col min="49" max="49" width="28.85546875" customWidth="1"/>
    <col min="50" max="50" width="33.7109375" customWidth="1"/>
    <col min="51" max="51" width="19.42578125" customWidth="1"/>
    <col min="52" max="56" width="17.7109375" customWidth="1"/>
    <col min="57" max="60" width="26.5703125" customWidth="1"/>
  </cols>
  <sheetData>
    <row r="1" spans="1:60"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77"/>
      <c r="BG1" s="577"/>
      <c r="BH1" s="577"/>
    </row>
    <row r="2" spans="1:60"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77"/>
      <c r="BG2" s="577"/>
      <c r="BH2" s="577"/>
    </row>
    <row r="3" spans="1:60"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78" t="s">
        <v>718</v>
      </c>
      <c r="BG3" s="578"/>
      <c r="BH3" s="578"/>
    </row>
    <row r="4" spans="1:60" ht="15.75" thickBot="1" x14ac:dyDescent="0.3">
      <c r="A4" s="572" t="s">
        <v>193</v>
      </c>
      <c r="B4" s="572"/>
      <c r="C4" s="572"/>
      <c r="D4" s="572"/>
      <c r="E4" s="28"/>
      <c r="F4" s="36"/>
      <c r="G4" s="28"/>
      <c r="H4" s="103"/>
      <c r="I4" s="103"/>
      <c r="J4" s="103"/>
      <c r="K4" s="103"/>
      <c r="L4" s="28"/>
      <c r="M4" s="54"/>
      <c r="N4" s="28"/>
      <c r="O4" s="28"/>
      <c r="P4" s="28"/>
      <c r="Q4" s="28"/>
      <c r="R4" s="28"/>
      <c r="S4" s="28"/>
      <c r="T4" s="28"/>
      <c r="U4" s="28"/>
      <c r="V4" s="28"/>
      <c r="W4" s="54"/>
      <c r="X4" s="28"/>
      <c r="Y4" s="28"/>
      <c r="Z4" s="28"/>
      <c r="AA4" s="28"/>
      <c r="AB4" s="28"/>
      <c r="AC4" s="28"/>
      <c r="AD4" s="28"/>
      <c r="AE4" s="28"/>
      <c r="AF4" s="28"/>
      <c r="AG4" s="54"/>
      <c r="AH4" s="28"/>
      <c r="AI4" s="28"/>
      <c r="AJ4" s="28"/>
      <c r="AK4" s="28"/>
      <c r="AL4" s="28"/>
      <c r="AM4" s="28"/>
      <c r="AN4" s="28"/>
      <c r="AO4" s="28"/>
      <c r="AP4" s="28"/>
      <c r="AQ4" s="54"/>
      <c r="AR4" s="28"/>
      <c r="AS4" s="28"/>
      <c r="AT4" s="28"/>
      <c r="AU4" s="28"/>
      <c r="AV4" s="28"/>
      <c r="AW4" s="28"/>
      <c r="AX4" s="28"/>
      <c r="AY4" s="28"/>
      <c r="AZ4" s="28"/>
      <c r="BA4" s="28"/>
      <c r="BB4" s="28"/>
      <c r="BC4" s="28"/>
      <c r="BD4" s="28"/>
      <c r="BE4" s="28"/>
      <c r="BF4" s="28"/>
      <c r="BG4" s="28"/>
      <c r="BH4" s="28"/>
    </row>
    <row r="5" spans="1:60" ht="57" customHeight="1" x14ac:dyDescent="0.25">
      <c r="A5" s="583" t="s">
        <v>1</v>
      </c>
      <c r="B5" s="575" t="s">
        <v>3</v>
      </c>
      <c r="C5" s="575" t="s">
        <v>194</v>
      </c>
      <c r="D5" s="575" t="s">
        <v>195</v>
      </c>
      <c r="E5" s="575" t="s">
        <v>196</v>
      </c>
      <c r="F5" s="581" t="s">
        <v>781</v>
      </c>
      <c r="G5" s="575" t="s">
        <v>228</v>
      </c>
      <c r="H5" s="575" t="s">
        <v>227</v>
      </c>
      <c r="I5" s="575" t="s">
        <v>8</v>
      </c>
      <c r="J5" s="575" t="s">
        <v>481</v>
      </c>
      <c r="K5" s="575" t="s">
        <v>501</v>
      </c>
      <c r="L5" s="579" t="s">
        <v>9</v>
      </c>
      <c r="M5" s="177" t="s">
        <v>315</v>
      </c>
      <c r="N5" s="194" t="s">
        <v>457</v>
      </c>
      <c r="O5" s="194" t="s">
        <v>458</v>
      </c>
      <c r="P5" s="194" t="s">
        <v>459</v>
      </c>
      <c r="Q5" s="194" t="s">
        <v>460</v>
      </c>
      <c r="R5" s="194" t="s">
        <v>550</v>
      </c>
      <c r="S5" s="194" t="s">
        <v>470</v>
      </c>
      <c r="T5" s="655" t="s">
        <v>414</v>
      </c>
      <c r="U5" s="573" t="s">
        <v>416</v>
      </c>
      <c r="V5" s="563" t="s">
        <v>776</v>
      </c>
      <c r="W5" s="177" t="s">
        <v>315</v>
      </c>
      <c r="X5" s="194" t="s">
        <v>457</v>
      </c>
      <c r="Y5" s="194" t="s">
        <v>458</v>
      </c>
      <c r="Z5" s="194" t="s">
        <v>459</v>
      </c>
      <c r="AA5" s="194" t="s">
        <v>460</v>
      </c>
      <c r="AB5" s="194" t="s">
        <v>550</v>
      </c>
      <c r="AC5" s="194" t="s">
        <v>470</v>
      </c>
      <c r="AD5" s="655" t="s">
        <v>414</v>
      </c>
      <c r="AE5" s="573" t="s">
        <v>416</v>
      </c>
      <c r="AF5" s="563" t="s">
        <v>474</v>
      </c>
      <c r="AG5" s="177" t="s">
        <v>315</v>
      </c>
      <c r="AH5" s="194" t="s">
        <v>457</v>
      </c>
      <c r="AI5" s="194" t="s">
        <v>458</v>
      </c>
      <c r="AJ5" s="194" t="s">
        <v>459</v>
      </c>
      <c r="AK5" s="194" t="s">
        <v>460</v>
      </c>
      <c r="AL5" s="194" t="s">
        <v>550</v>
      </c>
      <c r="AM5" s="194" t="s">
        <v>470</v>
      </c>
      <c r="AN5" s="655" t="s">
        <v>414</v>
      </c>
      <c r="AO5" s="573" t="s">
        <v>416</v>
      </c>
      <c r="AP5" s="563" t="s">
        <v>477</v>
      </c>
      <c r="AQ5" s="177" t="s">
        <v>315</v>
      </c>
      <c r="AR5" s="194" t="s">
        <v>457</v>
      </c>
      <c r="AS5" s="194" t="s">
        <v>458</v>
      </c>
      <c r="AT5" s="194" t="s">
        <v>459</v>
      </c>
      <c r="AU5" s="194" t="s">
        <v>460</v>
      </c>
      <c r="AV5" s="194" t="s">
        <v>470</v>
      </c>
      <c r="AW5" s="655" t="s">
        <v>414</v>
      </c>
      <c r="AX5" s="573" t="s">
        <v>416</v>
      </c>
      <c r="AY5" s="563" t="s">
        <v>486</v>
      </c>
      <c r="AZ5" s="626" t="s">
        <v>11</v>
      </c>
      <c r="BA5" s="627"/>
      <c r="BB5" s="627"/>
      <c r="BC5" s="627"/>
      <c r="BD5" s="628"/>
      <c r="BE5" s="569" t="s">
        <v>539</v>
      </c>
      <c r="BF5" s="570"/>
      <c r="BG5" s="570"/>
      <c r="BH5" s="571"/>
    </row>
    <row r="6" spans="1:60" ht="57" customHeight="1" x14ac:dyDescent="0.25">
      <c r="A6" s="584"/>
      <c r="B6" s="514"/>
      <c r="C6" s="514"/>
      <c r="D6" s="514"/>
      <c r="E6" s="514"/>
      <c r="F6" s="582"/>
      <c r="G6" s="514"/>
      <c r="H6" s="514"/>
      <c r="I6" s="514"/>
      <c r="J6" s="514"/>
      <c r="K6" s="514"/>
      <c r="L6" s="580"/>
      <c r="M6" s="141" t="s">
        <v>775</v>
      </c>
      <c r="N6" s="4" t="s">
        <v>775</v>
      </c>
      <c r="O6" s="4" t="s">
        <v>775</v>
      </c>
      <c r="P6" s="4" t="s">
        <v>775</v>
      </c>
      <c r="Q6" s="4" t="s">
        <v>775</v>
      </c>
      <c r="R6" s="4" t="s">
        <v>775</v>
      </c>
      <c r="S6" s="4" t="s">
        <v>775</v>
      </c>
      <c r="T6" s="656"/>
      <c r="U6" s="574"/>
      <c r="V6" s="564"/>
      <c r="W6" s="141" t="s">
        <v>298</v>
      </c>
      <c r="X6" s="4" t="s">
        <v>298</v>
      </c>
      <c r="Y6" s="4" t="s">
        <v>298</v>
      </c>
      <c r="Z6" s="4" t="s">
        <v>298</v>
      </c>
      <c r="AA6" s="4" t="s">
        <v>298</v>
      </c>
      <c r="AB6" s="4" t="s">
        <v>298</v>
      </c>
      <c r="AC6" s="4" t="s">
        <v>298</v>
      </c>
      <c r="AD6" s="656"/>
      <c r="AE6" s="574"/>
      <c r="AF6" s="564"/>
      <c r="AG6" s="141" t="s">
        <v>287</v>
      </c>
      <c r="AH6" s="4" t="s">
        <v>287</v>
      </c>
      <c r="AI6" s="4" t="s">
        <v>287</v>
      </c>
      <c r="AJ6" s="4" t="s">
        <v>287</v>
      </c>
      <c r="AK6" s="4" t="s">
        <v>287</v>
      </c>
      <c r="AL6" s="4" t="s">
        <v>287</v>
      </c>
      <c r="AM6" s="4" t="s">
        <v>287</v>
      </c>
      <c r="AN6" s="656"/>
      <c r="AO6" s="574"/>
      <c r="AP6" s="564"/>
      <c r="AQ6" s="141" t="s">
        <v>312</v>
      </c>
      <c r="AR6" s="4" t="s">
        <v>312</v>
      </c>
      <c r="AS6" s="4" t="s">
        <v>312</v>
      </c>
      <c r="AT6" s="4" t="s">
        <v>312</v>
      </c>
      <c r="AU6" s="4" t="s">
        <v>312</v>
      </c>
      <c r="AV6" s="4" t="s">
        <v>312</v>
      </c>
      <c r="AW6" s="656"/>
      <c r="AX6" s="574"/>
      <c r="AY6" s="564"/>
      <c r="AZ6" s="154" t="s">
        <v>198</v>
      </c>
      <c r="BA6" s="5" t="s">
        <v>199</v>
      </c>
      <c r="BB6" s="5" t="s">
        <v>200</v>
      </c>
      <c r="BC6" s="5" t="s">
        <v>201</v>
      </c>
      <c r="BD6" s="155" t="s">
        <v>20</v>
      </c>
      <c r="BE6" s="159" t="s">
        <v>202</v>
      </c>
      <c r="BF6" s="31" t="s">
        <v>203</v>
      </c>
      <c r="BG6" s="31" t="s">
        <v>204</v>
      </c>
      <c r="BH6" s="160" t="s">
        <v>205</v>
      </c>
    </row>
    <row r="7" spans="1:60" ht="42" customHeight="1" x14ac:dyDescent="0.25">
      <c r="A7" s="678" t="s">
        <v>76</v>
      </c>
      <c r="B7" s="677" t="s">
        <v>678</v>
      </c>
      <c r="C7" s="677" t="s">
        <v>679</v>
      </c>
      <c r="D7" s="677" t="s">
        <v>78</v>
      </c>
      <c r="E7" s="677" t="s">
        <v>680</v>
      </c>
      <c r="F7" s="679">
        <f>+'PLAN DESARROLLO'!E12</f>
        <v>0.9</v>
      </c>
      <c r="G7" s="67" t="s">
        <v>427</v>
      </c>
      <c r="H7" s="74" t="s">
        <v>838</v>
      </c>
      <c r="I7" s="65" t="s">
        <v>839</v>
      </c>
      <c r="J7" s="65" t="s">
        <v>482</v>
      </c>
      <c r="K7" s="227" t="s">
        <v>749</v>
      </c>
      <c r="L7" s="676"/>
      <c r="M7" s="142"/>
      <c r="N7" s="55"/>
      <c r="O7" s="55"/>
      <c r="P7" s="55"/>
      <c r="Q7" s="55"/>
      <c r="R7" s="55"/>
      <c r="S7" s="358"/>
      <c r="T7" s="55"/>
      <c r="U7" s="55"/>
      <c r="V7" s="143" t="e">
        <f>+AVERAGE(M7:S7)</f>
        <v>#DIV/0!</v>
      </c>
      <c r="W7" s="142"/>
      <c r="X7" s="55"/>
      <c r="Y7" s="55"/>
      <c r="Z7" s="55"/>
      <c r="AA7" s="55"/>
      <c r="AB7" s="55"/>
      <c r="AC7" s="358"/>
      <c r="AD7" s="55"/>
      <c r="AE7" s="55"/>
      <c r="AF7" s="143" t="e">
        <f>+AVERAGE(W7:AC7)</f>
        <v>#DIV/0!</v>
      </c>
      <c r="AG7" s="142"/>
      <c r="AH7" s="55"/>
      <c r="AI7" s="55"/>
      <c r="AJ7" s="55"/>
      <c r="AK7" s="55"/>
      <c r="AL7" s="55"/>
      <c r="AM7" s="55"/>
      <c r="AN7" s="55"/>
      <c r="AO7" s="55"/>
      <c r="AP7" s="143" t="e">
        <f>+AVERAGE(AG7:AM7)</f>
        <v>#DIV/0!</v>
      </c>
      <c r="AQ7" s="142"/>
      <c r="AR7" s="55"/>
      <c r="AS7" s="55"/>
      <c r="AT7" s="55"/>
      <c r="AU7" s="55"/>
      <c r="AV7" s="55"/>
      <c r="AW7" s="55"/>
      <c r="AX7" s="55"/>
      <c r="AY7" s="143" t="e">
        <f>AVERAGE(AQ7:AV7)</f>
        <v>#DIV/0!</v>
      </c>
      <c r="AZ7" s="25" t="str">
        <f>IFERROR(IF(V7&gt;0.018,1,(V7*100%)/0.018),"-")</f>
        <v>-</v>
      </c>
      <c r="BA7" s="25" t="str">
        <f>IFERROR(IF(AF7&gt;0.018,1,(AF7*100%)/0.018),"-")</f>
        <v>-</v>
      </c>
      <c r="BB7" s="25" t="str">
        <f>IFERROR(IF(AP7&gt;0.018,1,(AP7*100%)/0.018),"-")</f>
        <v>-</v>
      </c>
      <c r="BC7" s="25" t="str">
        <f>IFERROR(IF(AY7&gt;0.018,1,(AY7*100%)/0.018),"-")</f>
        <v>-</v>
      </c>
      <c r="BD7" s="157" t="str">
        <f t="shared" ref="BD7:BD21" si="0">IFERROR(AVERAGE(AZ7:BC7),"-")</f>
        <v>-</v>
      </c>
      <c r="BE7" s="161"/>
      <c r="BF7" s="33"/>
      <c r="BG7" s="34"/>
      <c r="BH7" s="162"/>
    </row>
    <row r="8" spans="1:60" ht="48" customHeight="1" x14ac:dyDescent="0.25">
      <c r="A8" s="678"/>
      <c r="B8" s="677"/>
      <c r="C8" s="677"/>
      <c r="D8" s="677"/>
      <c r="E8" s="677"/>
      <c r="F8" s="680"/>
      <c r="G8" s="67" t="s">
        <v>853</v>
      </c>
      <c r="H8" s="136" t="s">
        <v>852</v>
      </c>
      <c r="I8" s="65" t="s">
        <v>748</v>
      </c>
      <c r="J8" s="65" t="s">
        <v>482</v>
      </c>
      <c r="K8" s="227" t="s">
        <v>854</v>
      </c>
      <c r="L8" s="676"/>
      <c r="M8" s="142"/>
      <c r="N8" s="55"/>
      <c r="O8" s="55"/>
      <c r="P8" s="55"/>
      <c r="Q8" s="55"/>
      <c r="R8" s="55"/>
      <c r="S8" s="55"/>
      <c r="T8" s="55"/>
      <c r="U8" s="55"/>
      <c r="V8" s="143" t="e">
        <f t="shared" ref="V8:V24" si="1">+AVERAGE(M8:S8)</f>
        <v>#DIV/0!</v>
      </c>
      <c r="W8" s="142"/>
      <c r="X8" s="55"/>
      <c r="Y8" s="55"/>
      <c r="Z8" s="55"/>
      <c r="AA8" s="55"/>
      <c r="AB8" s="55"/>
      <c r="AC8" s="55"/>
      <c r="AD8" s="55"/>
      <c r="AE8" s="55"/>
      <c r="AF8" s="143" t="e">
        <f t="shared" ref="AF8:AF24" si="2">+AVERAGE(W8:AC8)</f>
        <v>#DIV/0!</v>
      </c>
      <c r="AG8" s="142"/>
      <c r="AH8" s="55"/>
      <c r="AI8" s="55"/>
      <c r="AJ8" s="55"/>
      <c r="AK8" s="55"/>
      <c r="AL8" s="55"/>
      <c r="AM8" s="438"/>
      <c r="AN8" s="7"/>
      <c r="AO8" s="7"/>
      <c r="AP8" s="143" t="e">
        <f t="shared" ref="AP8:AP25" si="3">+AVERAGE(AG8:AM8)</f>
        <v>#DIV/0!</v>
      </c>
      <c r="AQ8" s="142"/>
      <c r="AR8" s="55"/>
      <c r="AS8" s="55"/>
      <c r="AT8" s="55"/>
      <c r="AU8" s="55"/>
      <c r="AV8" s="55"/>
      <c r="AW8" s="7"/>
      <c r="AX8" s="55"/>
      <c r="AY8" s="143" t="e">
        <f t="shared" ref="AY8:AY24" si="4">AVERAGE(AQ8:AV8)</f>
        <v>#DIV/0!</v>
      </c>
      <c r="AZ8" s="25" t="str" cm="1">
        <f t="array" ref="AZ8">IFERROR(IF(V8&gt;=0,1,(v*100%)/0),"-")</f>
        <v>-</v>
      </c>
      <c r="BA8" s="25" t="str">
        <f>IFERROR(IF(AF8&gt;=0,1,(AF8*100%)/0),"-")</f>
        <v>-</v>
      </c>
      <c r="BB8" s="25" t="str">
        <f>IFERROR(IF(AP8&gt;=0,1,(AP8*100%)/0),"-")</f>
        <v>-</v>
      </c>
      <c r="BC8" s="25" t="str">
        <f>IFERROR(IF(AY8&gt;=0,1,(AY8*100%)/0),"-")</f>
        <v>-</v>
      </c>
      <c r="BD8" s="157" t="str">
        <f t="shared" si="0"/>
        <v>-</v>
      </c>
      <c r="BE8" s="161"/>
      <c r="BF8" s="33"/>
      <c r="BG8" s="34"/>
      <c r="BH8" s="162"/>
    </row>
    <row r="9" spans="1:60" ht="57.75" customHeight="1" x14ac:dyDescent="0.25">
      <c r="A9" s="678"/>
      <c r="B9" s="677"/>
      <c r="C9" s="677"/>
      <c r="D9" s="677"/>
      <c r="E9" s="677"/>
      <c r="F9" s="680"/>
      <c r="G9" s="67" t="s">
        <v>767</v>
      </c>
      <c r="H9" s="136" t="s">
        <v>768</v>
      </c>
      <c r="I9" s="65" t="s">
        <v>840</v>
      </c>
      <c r="J9" s="65" t="s">
        <v>482</v>
      </c>
      <c r="K9" s="227" t="s">
        <v>772</v>
      </c>
      <c r="L9" s="676"/>
      <c r="M9" s="142"/>
      <c r="N9" s="55"/>
      <c r="O9" s="55"/>
      <c r="P9" s="55"/>
      <c r="Q9" s="55"/>
      <c r="R9" s="55"/>
      <c r="S9" s="55"/>
      <c r="T9" s="53"/>
      <c r="U9" s="55"/>
      <c r="V9" s="143" t="e">
        <f t="shared" si="1"/>
        <v>#DIV/0!</v>
      </c>
      <c r="W9" s="142"/>
      <c r="X9" s="55"/>
      <c r="Y9" s="55"/>
      <c r="Z9" s="55"/>
      <c r="AA9" s="55"/>
      <c r="AB9" s="55"/>
      <c r="AC9" s="55"/>
      <c r="AD9" s="53"/>
      <c r="AE9" s="55"/>
      <c r="AF9" s="143" t="e">
        <f t="shared" si="2"/>
        <v>#DIV/0!</v>
      </c>
      <c r="AG9" s="142"/>
      <c r="AH9" s="55"/>
      <c r="AI9" s="55"/>
      <c r="AJ9" s="55"/>
      <c r="AK9" s="55"/>
      <c r="AL9" s="55"/>
      <c r="AM9" s="55"/>
      <c r="AN9" s="53"/>
      <c r="AO9" s="7"/>
      <c r="AP9" s="143" t="e">
        <f t="shared" si="3"/>
        <v>#DIV/0!</v>
      </c>
      <c r="AQ9" s="142"/>
      <c r="AR9" s="55"/>
      <c r="AS9" s="55"/>
      <c r="AT9" s="55"/>
      <c r="AU9" s="55"/>
      <c r="AV9" s="55"/>
      <c r="AW9" s="53"/>
      <c r="AX9" s="55"/>
      <c r="AY9" s="143" t="e">
        <f t="shared" si="4"/>
        <v>#DIV/0!</v>
      </c>
      <c r="AZ9" s="25" t="str">
        <f>IFERROR(IF(V9&gt;=0.95,1,(V9*100%)/0.95),"-")</f>
        <v>-</v>
      </c>
      <c r="BA9" s="25" t="str">
        <f>IFERROR(IF(AF9&gt;=0.95,1,(AF9*100%)/0.95),"-")</f>
        <v>-</v>
      </c>
      <c r="BB9" s="25" t="str">
        <f>IFERROR(IF(AP9&gt;=0.95,1,(AP9*100%)/0.95),"-")</f>
        <v>-</v>
      </c>
      <c r="BC9" s="25" t="str">
        <f>IFERROR(IF(AY9&gt;=0.95,1,(AY9*100%)/0.95),"-")</f>
        <v>-</v>
      </c>
      <c r="BD9" s="157" t="str">
        <f t="shared" si="0"/>
        <v>-</v>
      </c>
      <c r="BE9" s="161"/>
      <c r="BF9" s="33"/>
      <c r="BG9" s="34"/>
      <c r="BH9" s="162"/>
    </row>
    <row r="10" spans="1:60" ht="58.5" customHeight="1" x14ac:dyDescent="0.25">
      <c r="A10" s="678"/>
      <c r="B10" s="677"/>
      <c r="C10" s="677"/>
      <c r="D10" s="677"/>
      <c r="E10" s="677"/>
      <c r="F10" s="680"/>
      <c r="G10" s="296" t="s">
        <v>428</v>
      </c>
      <c r="H10" s="136" t="s">
        <v>429</v>
      </c>
      <c r="I10" s="65" t="s">
        <v>132</v>
      </c>
      <c r="J10" s="65" t="s">
        <v>482</v>
      </c>
      <c r="K10" s="227" t="s">
        <v>744</v>
      </c>
      <c r="L10" s="676"/>
      <c r="M10" s="142"/>
      <c r="N10" s="55"/>
      <c r="O10" s="55"/>
      <c r="P10" s="55"/>
      <c r="Q10" s="55"/>
      <c r="R10" s="55"/>
      <c r="S10" s="55"/>
      <c r="T10" s="53"/>
      <c r="U10" s="55"/>
      <c r="V10" s="143" t="e">
        <f t="shared" si="1"/>
        <v>#DIV/0!</v>
      </c>
      <c r="W10" s="142"/>
      <c r="X10" s="55"/>
      <c r="Y10" s="55"/>
      <c r="Z10" s="55"/>
      <c r="AA10" s="55"/>
      <c r="AB10" s="55"/>
      <c r="AC10" s="55"/>
      <c r="AD10" s="53"/>
      <c r="AE10" s="55"/>
      <c r="AF10" s="143" t="e">
        <f t="shared" si="2"/>
        <v>#DIV/0!</v>
      </c>
      <c r="AG10" s="142"/>
      <c r="AH10" s="55"/>
      <c r="AI10" s="55"/>
      <c r="AJ10" s="55"/>
      <c r="AK10" s="55"/>
      <c r="AL10" s="55"/>
      <c r="AM10" s="55"/>
      <c r="AN10" s="53"/>
      <c r="AO10" s="53"/>
      <c r="AP10" s="143" t="e">
        <f t="shared" si="3"/>
        <v>#DIV/0!</v>
      </c>
      <c r="AQ10" s="142"/>
      <c r="AR10" s="55"/>
      <c r="AS10" s="55"/>
      <c r="AT10" s="55"/>
      <c r="AU10" s="55"/>
      <c r="AV10" s="55"/>
      <c r="AW10" s="53"/>
      <c r="AX10" s="53"/>
      <c r="AY10" s="143" t="e">
        <f t="shared" si="4"/>
        <v>#DIV/0!</v>
      </c>
      <c r="AZ10" s="25" t="str">
        <f>IFERROR(IF(V10&gt;=0.8,1,(V10*100%)/0.8),"-")</f>
        <v>-</v>
      </c>
      <c r="BA10" s="25" t="str">
        <f>IFERROR(IF(AF10&gt;=0.8,1,(AF10*100%)/0.8),"-")</f>
        <v>-</v>
      </c>
      <c r="BB10" s="25" t="str">
        <f>IFERROR(IF(AP10&gt;=0.8,1,(AP10*100%)/0.8),"-")</f>
        <v>-</v>
      </c>
      <c r="BC10" s="25" t="str">
        <f>IFERROR(IF(AY10&gt;=0.8,1,(AY10*100%)/0.8),"-")</f>
        <v>-</v>
      </c>
      <c r="BD10" s="157" t="str">
        <f t="shared" si="0"/>
        <v>-</v>
      </c>
      <c r="BE10" s="161"/>
      <c r="BF10" s="33"/>
      <c r="BG10" s="34"/>
      <c r="BH10" s="162"/>
    </row>
    <row r="11" spans="1:60" ht="45" customHeight="1" x14ac:dyDescent="0.25">
      <c r="A11" s="678"/>
      <c r="B11" s="677"/>
      <c r="C11" s="677"/>
      <c r="D11" s="677"/>
      <c r="E11" s="677"/>
      <c r="F11" s="680"/>
      <c r="G11" s="67" t="s">
        <v>430</v>
      </c>
      <c r="H11" s="74" t="s">
        <v>431</v>
      </c>
      <c r="I11" s="65" t="s">
        <v>141</v>
      </c>
      <c r="J11" s="65" t="s">
        <v>482</v>
      </c>
      <c r="K11" s="226"/>
      <c r="L11" s="676"/>
      <c r="M11" s="142"/>
      <c r="N11" s="55"/>
      <c r="O11" s="55"/>
      <c r="P11" s="55"/>
      <c r="Q11" s="55"/>
      <c r="R11" s="55"/>
      <c r="S11" s="55"/>
      <c r="T11" s="53"/>
      <c r="U11" s="55"/>
      <c r="V11" s="143" t="e">
        <f t="shared" si="1"/>
        <v>#DIV/0!</v>
      </c>
      <c r="W11" s="142"/>
      <c r="X11" s="55"/>
      <c r="Y11" s="55"/>
      <c r="Z11" s="55"/>
      <c r="AA11" s="55"/>
      <c r="AB11" s="55"/>
      <c r="AC11" s="55"/>
      <c r="AD11" s="53"/>
      <c r="AE11" s="55"/>
      <c r="AF11" s="143" t="e">
        <f t="shared" si="2"/>
        <v>#DIV/0!</v>
      </c>
      <c r="AG11" s="142"/>
      <c r="AH11" s="55"/>
      <c r="AI11" s="55"/>
      <c r="AJ11" s="55"/>
      <c r="AK11" s="55"/>
      <c r="AL11" s="55"/>
      <c r="AM11" s="55"/>
      <c r="AN11" s="53"/>
      <c r="AO11" s="53"/>
      <c r="AP11" s="143" t="e">
        <f t="shared" si="3"/>
        <v>#DIV/0!</v>
      </c>
      <c r="AQ11" s="142"/>
      <c r="AR11" s="55"/>
      <c r="AS11" s="55"/>
      <c r="AT11" s="55"/>
      <c r="AU11" s="55"/>
      <c r="AV11" s="55"/>
      <c r="AW11" s="53"/>
      <c r="AX11" s="53"/>
      <c r="AY11" s="143" t="e">
        <f t="shared" si="4"/>
        <v>#DIV/0!</v>
      </c>
      <c r="AZ11" s="25" t="str">
        <f>IFERROR(IF(V11&gt;=0.9,1,(V11*100%)/0.9),"-")</f>
        <v>-</v>
      </c>
      <c r="BA11" s="25" t="str">
        <f>IFERROR(IF(AF11&gt;=0.9,1,(AF11*100%)/0.9),"-")</f>
        <v>-</v>
      </c>
      <c r="BB11" s="25" t="str">
        <f>IFERROR(IF(AP11&gt;=0.9,1,(AP11*100%)/0.9),"-")</f>
        <v>-</v>
      </c>
      <c r="BC11" s="25" t="str">
        <f>IFERROR(IF(AY11&gt;=0.9,1,(AY11*100%)/0.9),"-")</f>
        <v>-</v>
      </c>
      <c r="BD11" s="157" t="str">
        <f t="shared" si="0"/>
        <v>-</v>
      </c>
      <c r="BE11" s="161"/>
      <c r="BF11" s="33"/>
      <c r="BG11" s="34"/>
      <c r="BH11" s="162"/>
    </row>
    <row r="12" spans="1:60" ht="75" customHeight="1" x14ac:dyDescent="0.25">
      <c r="A12" s="678"/>
      <c r="B12" s="677"/>
      <c r="C12" s="677"/>
      <c r="D12" s="677"/>
      <c r="E12" s="677"/>
      <c r="F12" s="680"/>
      <c r="G12" s="67" t="s">
        <v>432</v>
      </c>
      <c r="H12" s="74" t="s">
        <v>841</v>
      </c>
      <c r="I12" s="130" t="s">
        <v>842</v>
      </c>
      <c r="J12" s="65" t="s">
        <v>482</v>
      </c>
      <c r="K12" s="227"/>
      <c r="L12" s="676"/>
      <c r="M12" s="142"/>
      <c r="N12" s="55"/>
      <c r="O12" s="55"/>
      <c r="P12" s="55"/>
      <c r="Q12" s="55"/>
      <c r="R12" s="55"/>
      <c r="S12" s="55"/>
      <c r="T12" s="56"/>
      <c r="U12" s="55"/>
      <c r="V12" s="143" t="e">
        <f t="shared" si="1"/>
        <v>#DIV/0!</v>
      </c>
      <c r="W12" s="142"/>
      <c r="X12" s="55"/>
      <c r="Y12" s="55"/>
      <c r="Z12" s="55"/>
      <c r="AA12" s="55"/>
      <c r="AB12" s="55"/>
      <c r="AC12" s="55"/>
      <c r="AD12" s="56"/>
      <c r="AE12" s="55"/>
      <c r="AF12" s="143" t="e">
        <f t="shared" si="2"/>
        <v>#DIV/0!</v>
      </c>
      <c r="AG12" s="142"/>
      <c r="AH12" s="55"/>
      <c r="AI12" s="55"/>
      <c r="AJ12" s="55"/>
      <c r="AK12" s="55"/>
      <c r="AL12" s="55"/>
      <c r="AM12" s="55"/>
      <c r="AN12" s="56"/>
      <c r="AO12" s="56"/>
      <c r="AP12" s="143" t="e">
        <f t="shared" si="3"/>
        <v>#DIV/0!</v>
      </c>
      <c r="AQ12" s="142"/>
      <c r="AR12" s="55"/>
      <c r="AS12" s="55"/>
      <c r="AT12" s="55"/>
      <c r="AU12" s="55"/>
      <c r="AV12" s="55"/>
      <c r="AW12" s="56"/>
      <c r="AX12" s="53"/>
      <c r="AY12" s="143" t="e">
        <f t="shared" si="4"/>
        <v>#DIV/0!</v>
      </c>
      <c r="AZ12" s="25" t="str">
        <f>IFERROR(IF(V12&gt;=0,1,0),"-")</f>
        <v>-</v>
      </c>
      <c r="BA12" s="25" t="str">
        <f>IFERROR(IF(AF12&gt;=0,1,0),"-")</f>
        <v>-</v>
      </c>
      <c r="BB12" s="25" t="str">
        <f>IFERROR(IF(AP12&gt;=0,1,0),"-")</f>
        <v>-</v>
      </c>
      <c r="BC12" s="25" t="str">
        <f>IFERROR(IF(AY12&gt;=0,1,0),"-")</f>
        <v>-</v>
      </c>
      <c r="BD12" s="157" t="str">
        <f t="shared" si="0"/>
        <v>-</v>
      </c>
      <c r="BE12" s="161"/>
      <c r="BF12" s="33"/>
      <c r="BG12" s="34"/>
      <c r="BH12" s="162"/>
    </row>
    <row r="13" spans="1:60" ht="61.5" customHeight="1" x14ac:dyDescent="0.25">
      <c r="A13" s="678"/>
      <c r="B13" s="677"/>
      <c r="C13" s="677"/>
      <c r="D13" s="677"/>
      <c r="E13" s="677"/>
      <c r="F13" s="680"/>
      <c r="G13" s="67" t="s">
        <v>433</v>
      </c>
      <c r="H13" s="74" t="s">
        <v>434</v>
      </c>
      <c r="I13" s="130" t="s">
        <v>437</v>
      </c>
      <c r="J13" s="65" t="s">
        <v>482</v>
      </c>
      <c r="K13" s="227" t="s">
        <v>737</v>
      </c>
      <c r="L13" s="676"/>
      <c r="M13" s="142"/>
      <c r="N13" s="55"/>
      <c r="O13" s="55"/>
      <c r="P13" s="55"/>
      <c r="Q13" s="55"/>
      <c r="R13" s="55"/>
      <c r="S13" s="55"/>
      <c r="T13" s="56"/>
      <c r="U13" s="55"/>
      <c r="V13" s="143" t="e">
        <f t="shared" si="1"/>
        <v>#DIV/0!</v>
      </c>
      <c r="W13" s="142"/>
      <c r="X13" s="55"/>
      <c r="Y13" s="55"/>
      <c r="Z13" s="55"/>
      <c r="AA13" s="55"/>
      <c r="AB13" s="55"/>
      <c r="AC13" s="55"/>
      <c r="AD13" s="56"/>
      <c r="AE13" s="55"/>
      <c r="AF13" s="143" t="e">
        <f t="shared" si="2"/>
        <v>#DIV/0!</v>
      </c>
      <c r="AG13" s="142"/>
      <c r="AH13" s="55"/>
      <c r="AI13" s="55"/>
      <c r="AJ13" s="55"/>
      <c r="AK13" s="55"/>
      <c r="AL13" s="55"/>
      <c r="AM13" s="55"/>
      <c r="AN13" s="56"/>
      <c r="AO13" s="56"/>
      <c r="AP13" s="143" t="e">
        <f t="shared" si="3"/>
        <v>#DIV/0!</v>
      </c>
      <c r="AQ13" s="142"/>
      <c r="AR13" s="55"/>
      <c r="AS13" s="55"/>
      <c r="AT13" s="55"/>
      <c r="AU13" s="55"/>
      <c r="AV13" s="55"/>
      <c r="AW13" s="56"/>
      <c r="AX13" s="53"/>
      <c r="AY13" s="143" t="e">
        <f t="shared" si="4"/>
        <v>#DIV/0!</v>
      </c>
      <c r="AZ13" s="156" t="s">
        <v>421</v>
      </c>
      <c r="BA13" s="25" t="s">
        <v>421</v>
      </c>
      <c r="BB13" s="25" t="s">
        <v>421</v>
      </c>
      <c r="BC13" s="25" t="s">
        <v>421</v>
      </c>
      <c r="BD13" s="157" t="str">
        <f t="shared" si="0"/>
        <v>-</v>
      </c>
      <c r="BE13" s="161"/>
      <c r="BF13" s="33"/>
      <c r="BG13" s="34"/>
      <c r="BH13" s="162"/>
    </row>
    <row r="14" spans="1:60" ht="51" customHeight="1" x14ac:dyDescent="0.25">
      <c r="A14" s="678"/>
      <c r="B14" s="677"/>
      <c r="C14" s="677"/>
      <c r="D14" s="677"/>
      <c r="E14" s="677"/>
      <c r="F14" s="680"/>
      <c r="G14" s="67" t="s">
        <v>435</v>
      </c>
      <c r="H14" s="74" t="s">
        <v>436</v>
      </c>
      <c r="I14" s="130" t="s">
        <v>438</v>
      </c>
      <c r="J14" s="65" t="s">
        <v>483</v>
      </c>
      <c r="K14" s="227" t="s">
        <v>736</v>
      </c>
      <c r="L14" s="676"/>
      <c r="M14" s="142"/>
      <c r="N14" s="55"/>
      <c r="O14" s="55"/>
      <c r="P14" s="55"/>
      <c r="Q14" s="55"/>
      <c r="R14" s="55"/>
      <c r="S14" s="55"/>
      <c r="T14" s="56"/>
      <c r="U14" s="55"/>
      <c r="V14" s="143" t="e">
        <f t="shared" si="1"/>
        <v>#DIV/0!</v>
      </c>
      <c r="W14" s="142"/>
      <c r="X14" s="55"/>
      <c r="Y14" s="55"/>
      <c r="Z14" s="55"/>
      <c r="AA14" s="55"/>
      <c r="AB14" s="55"/>
      <c r="AC14" s="55"/>
      <c r="AD14" s="56"/>
      <c r="AE14" s="55"/>
      <c r="AF14" s="143" t="e">
        <f t="shared" si="2"/>
        <v>#DIV/0!</v>
      </c>
      <c r="AG14" s="142"/>
      <c r="AH14" s="55"/>
      <c r="AI14" s="55"/>
      <c r="AJ14" s="55"/>
      <c r="AK14" s="55"/>
      <c r="AL14" s="55"/>
      <c r="AM14" s="55"/>
      <c r="AN14" s="56"/>
      <c r="AO14" s="56"/>
      <c r="AP14" s="143" t="e">
        <f t="shared" si="3"/>
        <v>#DIV/0!</v>
      </c>
      <c r="AQ14" s="142"/>
      <c r="AR14" s="55"/>
      <c r="AS14" s="55"/>
      <c r="AT14" s="55"/>
      <c r="AU14" s="55"/>
      <c r="AV14" s="55"/>
      <c r="AW14" s="56"/>
      <c r="AX14" s="53"/>
      <c r="AY14" s="143" t="e">
        <f t="shared" si="4"/>
        <v>#DIV/0!</v>
      </c>
      <c r="AZ14" s="156" t="s">
        <v>421</v>
      </c>
      <c r="BA14" s="25" t="s">
        <v>421</v>
      </c>
      <c r="BB14" s="25" t="s">
        <v>421</v>
      </c>
      <c r="BC14" s="25" t="s">
        <v>421</v>
      </c>
      <c r="BD14" s="157" t="str">
        <f t="shared" si="0"/>
        <v>-</v>
      </c>
      <c r="BE14" s="161"/>
      <c r="BF14" s="33"/>
      <c r="BG14" s="34"/>
      <c r="BH14" s="162"/>
    </row>
    <row r="15" spans="1:60" ht="46.5" customHeight="1" x14ac:dyDescent="0.25">
      <c r="A15" s="678"/>
      <c r="B15" s="677"/>
      <c r="C15" s="677"/>
      <c r="D15" s="677"/>
      <c r="E15" s="677"/>
      <c r="F15" s="680"/>
      <c r="G15" s="67" t="s">
        <v>439</v>
      </c>
      <c r="H15" s="74" t="s">
        <v>440</v>
      </c>
      <c r="I15" s="65" t="s">
        <v>441</v>
      </c>
      <c r="J15" s="65" t="s">
        <v>483</v>
      </c>
      <c r="K15" s="227" t="s">
        <v>738</v>
      </c>
      <c r="L15" s="676"/>
      <c r="M15" s="361"/>
      <c r="N15" s="55"/>
      <c r="O15" s="55"/>
      <c r="P15" s="55"/>
      <c r="Q15" s="55"/>
      <c r="R15" s="55"/>
      <c r="S15" s="55"/>
      <c r="T15" s="56"/>
      <c r="U15" s="55"/>
      <c r="V15" s="143" t="e">
        <f t="shared" si="1"/>
        <v>#DIV/0!</v>
      </c>
      <c r="W15" s="361"/>
      <c r="X15" s="55"/>
      <c r="Y15" s="55"/>
      <c r="Z15" s="55"/>
      <c r="AA15" s="55"/>
      <c r="AB15" s="55"/>
      <c r="AC15" s="55"/>
      <c r="AD15" s="56"/>
      <c r="AE15" s="55"/>
      <c r="AF15" s="143" t="e">
        <f t="shared" si="2"/>
        <v>#DIV/0!</v>
      </c>
      <c r="AG15" s="359"/>
      <c r="AH15" s="55"/>
      <c r="AI15" s="55"/>
      <c r="AJ15" s="55"/>
      <c r="AK15" s="55"/>
      <c r="AL15" s="55"/>
      <c r="AM15" s="55"/>
      <c r="AN15" s="56"/>
      <c r="AO15" s="56"/>
      <c r="AP15" s="143" t="e">
        <f t="shared" si="3"/>
        <v>#DIV/0!</v>
      </c>
      <c r="AQ15" s="359"/>
      <c r="AR15" s="55"/>
      <c r="AS15" s="55"/>
      <c r="AT15" s="55"/>
      <c r="AU15" s="55"/>
      <c r="AV15" s="55"/>
      <c r="AW15" s="56"/>
      <c r="AX15" s="53"/>
      <c r="AY15" s="143" t="e">
        <f t="shared" si="4"/>
        <v>#DIV/0!</v>
      </c>
      <c r="AZ15" s="156" t="str">
        <f>IFERROR(IF(V15&gt;1,1,(V15*100%)/1),"-")</f>
        <v>-</v>
      </c>
      <c r="BA15" s="25" t="str">
        <f>IFERROR(IF(AF15&gt;1,1,(AF15*100%)/1),"-")</f>
        <v>-</v>
      </c>
      <c r="BB15" s="25" t="str">
        <f>IFERROR(IF(AP15&gt;1,1,(AP15*100%)/1),"-")</f>
        <v>-</v>
      </c>
      <c r="BC15" s="25" t="str">
        <f>IFERROR(IF(AY15&gt;1,1,(AY15*100%)/1),"-")</f>
        <v>-</v>
      </c>
      <c r="BD15" s="157" t="str">
        <f t="shared" si="0"/>
        <v>-</v>
      </c>
      <c r="BE15" s="161"/>
      <c r="BF15" s="33"/>
      <c r="BG15" s="34"/>
      <c r="BH15" s="162"/>
    </row>
    <row r="16" spans="1:60" ht="42.75" customHeight="1" x14ac:dyDescent="0.25">
      <c r="A16" s="678"/>
      <c r="B16" s="677"/>
      <c r="C16" s="677"/>
      <c r="D16" s="677"/>
      <c r="E16" s="677"/>
      <c r="F16" s="680"/>
      <c r="G16" s="67" t="s">
        <v>442</v>
      </c>
      <c r="H16" s="74" t="s">
        <v>443</v>
      </c>
      <c r="I16" s="65" t="s">
        <v>441</v>
      </c>
      <c r="J16" s="65" t="s">
        <v>483</v>
      </c>
      <c r="K16" s="227" t="s">
        <v>746</v>
      </c>
      <c r="L16" s="676"/>
      <c r="M16" s="142"/>
      <c r="N16" s="55"/>
      <c r="O16" s="55"/>
      <c r="P16" s="228"/>
      <c r="Q16" s="55"/>
      <c r="R16" s="55"/>
      <c r="S16" s="55"/>
      <c r="T16" s="56"/>
      <c r="U16" s="55"/>
      <c r="V16" s="143" t="e">
        <f t="shared" si="1"/>
        <v>#DIV/0!</v>
      </c>
      <c r="W16" s="142"/>
      <c r="X16" s="55"/>
      <c r="Y16" s="55"/>
      <c r="Z16" s="228"/>
      <c r="AA16" s="55"/>
      <c r="AB16" s="55"/>
      <c r="AC16" s="55"/>
      <c r="AD16" s="56"/>
      <c r="AE16" s="55"/>
      <c r="AF16" s="143" t="e">
        <f t="shared" si="2"/>
        <v>#DIV/0!</v>
      </c>
      <c r="AG16" s="359"/>
      <c r="AH16" s="55"/>
      <c r="AI16" s="55"/>
      <c r="AJ16" s="55"/>
      <c r="AK16" s="55"/>
      <c r="AL16" s="55"/>
      <c r="AM16" s="55"/>
      <c r="AN16" s="56"/>
      <c r="AO16" s="56"/>
      <c r="AP16" s="143" t="e">
        <f t="shared" si="3"/>
        <v>#DIV/0!</v>
      </c>
      <c r="AQ16" s="142"/>
      <c r="AR16" s="55"/>
      <c r="AS16" s="55"/>
      <c r="AT16" s="55"/>
      <c r="AU16" s="55"/>
      <c r="AV16" s="55"/>
      <c r="AW16" s="56"/>
      <c r="AX16" s="53"/>
      <c r="AY16" s="143" t="e">
        <f t="shared" si="4"/>
        <v>#DIV/0!</v>
      </c>
      <c r="AZ16" s="156" t="str">
        <f>IFERROR(IF(V16&gt;1,1,(V16*100%)/1),"-")</f>
        <v>-</v>
      </c>
      <c r="BA16" s="25" t="str">
        <f>IFERROR(IF(AF16&gt;1,1,(AF16*100%)/1),"-")</f>
        <v>-</v>
      </c>
      <c r="BB16" s="25" t="str">
        <f>IFERROR(IF(AP16&gt;1,1,(AP16*100%)/1),"-")</f>
        <v>-</v>
      </c>
      <c r="BC16" s="25" t="str">
        <f>IFERROR(IF(AY16&gt;1,1,(AY16*100%)/1),"-")</f>
        <v>-</v>
      </c>
      <c r="BD16" s="157" t="str">
        <f t="shared" si="0"/>
        <v>-</v>
      </c>
      <c r="BE16" s="161"/>
      <c r="BF16" s="33"/>
      <c r="BG16" s="34"/>
      <c r="BH16" s="162"/>
    </row>
    <row r="17" spans="1:60" ht="68.25" customHeight="1" x14ac:dyDescent="0.25">
      <c r="A17" s="678"/>
      <c r="B17" s="677"/>
      <c r="C17" s="677"/>
      <c r="D17" s="677"/>
      <c r="E17" s="677"/>
      <c r="F17" s="680"/>
      <c r="G17" s="67" t="s">
        <v>444</v>
      </c>
      <c r="H17" s="136" t="s">
        <v>445</v>
      </c>
      <c r="I17" s="130" t="s">
        <v>651</v>
      </c>
      <c r="J17" s="65" t="s">
        <v>482</v>
      </c>
      <c r="K17" s="227" t="s">
        <v>741</v>
      </c>
      <c r="L17" s="676"/>
      <c r="M17" s="142"/>
      <c r="N17" s="55"/>
      <c r="O17" s="55"/>
      <c r="P17" s="55"/>
      <c r="Q17" s="55"/>
      <c r="R17" s="55"/>
      <c r="S17" s="55"/>
      <c r="T17" s="56"/>
      <c r="U17" s="55"/>
      <c r="V17" s="143" t="e">
        <f t="shared" si="1"/>
        <v>#DIV/0!</v>
      </c>
      <c r="W17" s="142"/>
      <c r="X17" s="55"/>
      <c r="Y17" s="55"/>
      <c r="Z17" s="55"/>
      <c r="AA17" s="55"/>
      <c r="AB17" s="55"/>
      <c r="AC17" s="55"/>
      <c r="AD17" s="56"/>
      <c r="AE17" s="55"/>
      <c r="AF17" s="143" t="e">
        <f t="shared" si="2"/>
        <v>#DIV/0!</v>
      </c>
      <c r="AG17" s="142"/>
      <c r="AH17" s="55"/>
      <c r="AI17" s="55"/>
      <c r="AJ17" s="55"/>
      <c r="AK17" s="55"/>
      <c r="AL17" s="55"/>
      <c r="AM17" s="55"/>
      <c r="AN17" s="56"/>
      <c r="AO17" s="56"/>
      <c r="AP17" s="143" t="e">
        <f t="shared" si="3"/>
        <v>#DIV/0!</v>
      </c>
      <c r="AQ17" s="142"/>
      <c r="AR17" s="55"/>
      <c r="AS17" s="55"/>
      <c r="AT17" s="55"/>
      <c r="AU17" s="55"/>
      <c r="AV17" s="55"/>
      <c r="AW17" s="56"/>
      <c r="AX17" s="53"/>
      <c r="AY17" s="143" t="e">
        <f t="shared" si="4"/>
        <v>#DIV/0!</v>
      </c>
      <c r="AZ17" s="156" t="str">
        <f>IFERROR(IF(V17&gt;0.9,1,(V17*100%)/0.9),"-")</f>
        <v>-</v>
      </c>
      <c r="BA17" s="25" t="str">
        <f>IFERROR(IF(AF17&gt;0.9,1,(AF17*100%)/0.9),"-")</f>
        <v>-</v>
      </c>
      <c r="BB17" s="25" t="str">
        <f>IFERROR(IF(AP17&gt;0.9,1,(AP17*100%)/0.9),"-")</f>
        <v>-</v>
      </c>
      <c r="BC17" s="25" t="str">
        <f>IFERROR(IF(AY17&gt;0.9,1,(AY17*100%)/0.9),"-")</f>
        <v>-</v>
      </c>
      <c r="BD17" s="157" t="str">
        <f t="shared" si="0"/>
        <v>-</v>
      </c>
      <c r="BE17" s="161"/>
      <c r="BF17" s="33"/>
      <c r="BG17" s="34"/>
      <c r="BH17" s="162"/>
    </row>
    <row r="18" spans="1:60" ht="75.75" customHeight="1" x14ac:dyDescent="0.25">
      <c r="A18" s="678"/>
      <c r="B18" s="677"/>
      <c r="C18" s="677"/>
      <c r="D18" s="677"/>
      <c r="E18" s="677"/>
      <c r="F18" s="680"/>
      <c r="G18" s="67" t="s">
        <v>446</v>
      </c>
      <c r="H18" s="74" t="s">
        <v>542</v>
      </c>
      <c r="I18" s="65" t="s">
        <v>631</v>
      </c>
      <c r="J18" s="65" t="s">
        <v>482</v>
      </c>
      <c r="K18" s="227" t="s">
        <v>742</v>
      </c>
      <c r="L18" s="676"/>
      <c r="M18" s="142"/>
      <c r="N18" s="55"/>
      <c r="O18" s="55"/>
      <c r="P18" s="55"/>
      <c r="Q18" s="55"/>
      <c r="R18" s="55"/>
      <c r="S18" s="55"/>
      <c r="T18" s="56"/>
      <c r="U18" s="55"/>
      <c r="V18" s="143" t="e">
        <f t="shared" si="1"/>
        <v>#DIV/0!</v>
      </c>
      <c r="W18" s="142"/>
      <c r="X18" s="55"/>
      <c r="Y18" s="55"/>
      <c r="Z18" s="55"/>
      <c r="AA18" s="55"/>
      <c r="AB18" s="55"/>
      <c r="AC18" s="55"/>
      <c r="AD18" s="56"/>
      <c r="AE18" s="55"/>
      <c r="AF18" s="143" t="e">
        <f t="shared" si="2"/>
        <v>#DIV/0!</v>
      </c>
      <c r="AG18" s="142"/>
      <c r="AH18" s="55"/>
      <c r="AI18" s="55"/>
      <c r="AJ18" s="55"/>
      <c r="AK18" s="55"/>
      <c r="AL18" s="55"/>
      <c r="AM18" s="55"/>
      <c r="AN18" s="56"/>
      <c r="AO18" s="56"/>
      <c r="AP18" s="143" t="e">
        <f t="shared" si="3"/>
        <v>#DIV/0!</v>
      </c>
      <c r="AQ18" s="142"/>
      <c r="AR18" s="55"/>
      <c r="AS18" s="55"/>
      <c r="AT18" s="55"/>
      <c r="AU18" s="55"/>
      <c r="AV18" s="55"/>
      <c r="AW18" s="56"/>
      <c r="AX18" s="53"/>
      <c r="AY18" s="143" t="e">
        <f t="shared" si="4"/>
        <v>#DIV/0!</v>
      </c>
      <c r="AZ18" s="25" t="str">
        <f>IFERROR(IF(V18&gt;=0.3,0.3/(V18*100%),1),"-")</f>
        <v>-</v>
      </c>
      <c r="BA18" s="25" t="str">
        <f>IFERROR(IF(AF18&gt;=0.3,0.3/(AF8*100%),1),"-")</f>
        <v>-</v>
      </c>
      <c r="BB18" s="25" t="str">
        <f>IFERROR(IF(AP18&gt;=0.3,0.3/(AP18*100%),1),"-")</f>
        <v>-</v>
      </c>
      <c r="BC18" s="25" t="str">
        <f>IFERROR(IF(AY18&gt;=0.3,0.3/(AY18*100%),1),"-")</f>
        <v>-</v>
      </c>
      <c r="BD18" s="157" t="str">
        <f t="shared" si="0"/>
        <v>-</v>
      </c>
      <c r="BE18" s="161"/>
      <c r="BF18" s="33"/>
      <c r="BG18" s="34"/>
      <c r="BH18" s="162"/>
    </row>
    <row r="19" spans="1:60" ht="51" customHeight="1" x14ac:dyDescent="0.25">
      <c r="A19" s="678"/>
      <c r="B19" s="677"/>
      <c r="C19" s="677"/>
      <c r="D19" s="677"/>
      <c r="E19" s="677"/>
      <c r="F19" s="680"/>
      <c r="G19" s="67" t="s">
        <v>447</v>
      </c>
      <c r="H19" s="74" t="s">
        <v>448</v>
      </c>
      <c r="I19" s="65" t="s">
        <v>449</v>
      </c>
      <c r="J19" s="65" t="s">
        <v>494</v>
      </c>
      <c r="K19" s="227" t="s">
        <v>743</v>
      </c>
      <c r="L19" s="676"/>
      <c r="M19" s="142"/>
      <c r="N19" s="55"/>
      <c r="O19" s="55"/>
      <c r="P19" s="55"/>
      <c r="Q19" s="55"/>
      <c r="R19" s="55"/>
      <c r="S19" s="55"/>
      <c r="T19" s="56"/>
      <c r="U19" s="55"/>
      <c r="V19" s="143" t="e">
        <f t="shared" si="1"/>
        <v>#DIV/0!</v>
      </c>
      <c r="W19" s="142"/>
      <c r="X19" s="55"/>
      <c r="Y19" s="55"/>
      <c r="Z19" s="55"/>
      <c r="AA19" s="55"/>
      <c r="AB19" s="55"/>
      <c r="AC19" s="55"/>
      <c r="AD19" s="56"/>
      <c r="AE19" s="55"/>
      <c r="AF19" s="143" t="e">
        <f t="shared" si="2"/>
        <v>#DIV/0!</v>
      </c>
      <c r="AG19" s="142"/>
      <c r="AH19" s="55"/>
      <c r="AI19" s="55"/>
      <c r="AJ19" s="55"/>
      <c r="AK19" s="55"/>
      <c r="AL19" s="55"/>
      <c r="AM19" s="55"/>
      <c r="AN19" s="56"/>
      <c r="AO19" s="56"/>
      <c r="AP19" s="143" t="e">
        <f t="shared" si="3"/>
        <v>#DIV/0!</v>
      </c>
      <c r="AQ19" s="142"/>
      <c r="AR19" s="55"/>
      <c r="AS19" s="400"/>
      <c r="AT19" s="55"/>
      <c r="AU19" s="55"/>
      <c r="AV19" s="55"/>
      <c r="AW19" s="56"/>
      <c r="AX19" s="53"/>
      <c r="AY19" s="143" t="e">
        <f t="shared" si="4"/>
        <v>#DIV/0!</v>
      </c>
      <c r="AZ19" s="25" t="str">
        <f>IFERROR(IF(V19&gt;0.04,0.04/(V19*100%),1),"-")</f>
        <v>-</v>
      </c>
      <c r="BA19" s="25" t="str">
        <f>IFERROR(IF(AF19&gt;0.04,0.04/(AF19*100%),1),"-")</f>
        <v>-</v>
      </c>
      <c r="BB19" s="25" t="str">
        <f>IFERROR(IF(AP19&gt;0.04,0.04/(AP19*100%),1),"-")</f>
        <v>-</v>
      </c>
      <c r="BC19" s="25" t="str">
        <f>IFERROR(IF(AY19&gt;0.04,0.04/(AY19*100%),1),"-")</f>
        <v>-</v>
      </c>
      <c r="BD19" s="157" t="str">
        <f t="shared" si="0"/>
        <v>-</v>
      </c>
      <c r="BE19" s="161"/>
      <c r="BF19" s="33"/>
      <c r="BG19" s="34"/>
      <c r="BH19" s="162"/>
    </row>
    <row r="20" spans="1:60" ht="57.75" customHeight="1" x14ac:dyDescent="0.25">
      <c r="A20" s="678"/>
      <c r="B20" s="677"/>
      <c r="C20" s="677"/>
      <c r="D20" s="677"/>
      <c r="E20" s="677"/>
      <c r="F20" s="680"/>
      <c r="G20" s="67" t="s">
        <v>450</v>
      </c>
      <c r="H20" s="74" t="s">
        <v>451</v>
      </c>
      <c r="I20" s="65">
        <v>1</v>
      </c>
      <c r="J20" s="65" t="s">
        <v>483</v>
      </c>
      <c r="K20" s="227" t="s">
        <v>745</v>
      </c>
      <c r="L20" s="676"/>
      <c r="M20" s="142"/>
      <c r="N20" s="55"/>
      <c r="O20" s="55"/>
      <c r="P20" s="55"/>
      <c r="Q20" s="55"/>
      <c r="R20" s="55"/>
      <c r="S20" s="55"/>
      <c r="T20" s="56"/>
      <c r="U20" s="55"/>
      <c r="V20" s="143" t="e">
        <f t="shared" si="1"/>
        <v>#DIV/0!</v>
      </c>
      <c r="W20" s="142"/>
      <c r="X20" s="55"/>
      <c r="Y20" s="55"/>
      <c r="Z20" s="55"/>
      <c r="AA20" s="55"/>
      <c r="AB20" s="55"/>
      <c r="AC20" s="55"/>
      <c r="AD20" s="56"/>
      <c r="AE20" s="55"/>
      <c r="AF20" s="143" t="e">
        <f t="shared" si="2"/>
        <v>#DIV/0!</v>
      </c>
      <c r="AG20" s="142"/>
      <c r="AH20" s="55"/>
      <c r="AI20" s="55"/>
      <c r="AJ20" s="55"/>
      <c r="AK20" s="55"/>
      <c r="AL20" s="55"/>
      <c r="AM20" s="55"/>
      <c r="AN20" s="56"/>
      <c r="AO20" s="56"/>
      <c r="AP20" s="143" t="e">
        <f t="shared" si="3"/>
        <v>#DIV/0!</v>
      </c>
      <c r="AQ20" s="142"/>
      <c r="AR20" s="55"/>
      <c r="AS20" s="55"/>
      <c r="AT20" s="55"/>
      <c r="AU20" s="55"/>
      <c r="AV20" s="55"/>
      <c r="AW20" s="56"/>
      <c r="AX20" s="53"/>
      <c r="AY20" s="143" t="e">
        <f t="shared" si="4"/>
        <v>#DIV/0!</v>
      </c>
      <c r="AZ20" s="25" t="str">
        <f>IFERROR((V20*100%)/I20,"-")</f>
        <v>-</v>
      </c>
      <c r="BA20" s="25" t="str">
        <f>IFERROR((AF20*100%)/I20,"-")</f>
        <v>-</v>
      </c>
      <c r="BB20" s="25" t="str">
        <f t="shared" ref="BB20" si="5">IFERROR((AP20*100%)/I20,"-")</f>
        <v>-</v>
      </c>
      <c r="BC20" s="25" t="str">
        <f t="shared" ref="BC20" si="6">IFERROR((AY20*100%)/I20,"-")</f>
        <v>-</v>
      </c>
      <c r="BD20" s="157" t="str">
        <f t="shared" si="0"/>
        <v>-</v>
      </c>
      <c r="BE20" s="161"/>
      <c r="BF20" s="33"/>
      <c r="BG20" s="34"/>
      <c r="BH20" s="162"/>
    </row>
    <row r="21" spans="1:60" ht="48" customHeight="1" x14ac:dyDescent="0.25">
      <c r="A21" s="678"/>
      <c r="B21" s="677"/>
      <c r="C21" s="677"/>
      <c r="D21" s="677"/>
      <c r="E21" s="677"/>
      <c r="F21" s="680"/>
      <c r="G21" s="67" t="s">
        <v>452</v>
      </c>
      <c r="H21" s="74" t="s">
        <v>453</v>
      </c>
      <c r="I21" s="65" t="s">
        <v>441</v>
      </c>
      <c r="J21" s="65" t="s">
        <v>483</v>
      </c>
      <c r="K21" s="227" t="s">
        <v>739</v>
      </c>
      <c r="L21" s="676"/>
      <c r="M21" s="359"/>
      <c r="N21" s="55"/>
      <c r="O21" s="55"/>
      <c r="P21" s="55"/>
      <c r="Q21" s="55"/>
      <c r="R21" s="55"/>
      <c r="S21" s="55"/>
      <c r="T21" s="56"/>
      <c r="U21" s="55"/>
      <c r="V21" s="143" t="e">
        <f t="shared" si="1"/>
        <v>#DIV/0!</v>
      </c>
      <c r="W21" s="359"/>
      <c r="X21" s="55"/>
      <c r="Y21" s="55"/>
      <c r="Z21" s="55"/>
      <c r="AA21" s="55"/>
      <c r="AB21" s="55"/>
      <c r="AC21" s="55"/>
      <c r="AD21" s="56"/>
      <c r="AE21" s="55"/>
      <c r="AF21" s="143" t="e">
        <f t="shared" si="2"/>
        <v>#DIV/0!</v>
      </c>
      <c r="AG21" s="142"/>
      <c r="AH21" s="55"/>
      <c r="AI21" s="55"/>
      <c r="AJ21" s="55"/>
      <c r="AK21" s="55"/>
      <c r="AL21" s="55"/>
      <c r="AM21" s="55"/>
      <c r="AN21" s="56"/>
      <c r="AO21" s="56"/>
      <c r="AP21" s="143" t="e">
        <f t="shared" si="3"/>
        <v>#DIV/0!</v>
      </c>
      <c r="AQ21" s="359"/>
      <c r="AR21" s="55"/>
      <c r="AS21" s="55"/>
      <c r="AT21" s="55"/>
      <c r="AU21" s="55"/>
      <c r="AV21" s="55"/>
      <c r="AW21" s="56"/>
      <c r="AX21" s="53"/>
      <c r="AY21" s="143" t="e">
        <f t="shared" si="4"/>
        <v>#DIV/0!</v>
      </c>
      <c r="AZ21" s="25" t="str">
        <f>IFERROR(IF(V21&gt;1,1,(V21*100%)/1),"-")</f>
        <v>-</v>
      </c>
      <c r="BA21" s="25" t="str">
        <f>IFERROR(IF(AF21&gt;1,1,(AF21*100%)/1),"-")</f>
        <v>-</v>
      </c>
      <c r="BB21" s="25" t="str">
        <f>IFERROR(IF(AP21&gt;1,1,(AP21*100%)/1),"-")</f>
        <v>-</v>
      </c>
      <c r="BC21" s="25" t="str">
        <f>IFERROR(IF(AY21&gt;1,1,(AY21*100%)/1),"-")</f>
        <v>-</v>
      </c>
      <c r="BD21" s="157" t="str">
        <f t="shared" si="0"/>
        <v>-</v>
      </c>
      <c r="BE21" s="161"/>
      <c r="BF21" s="33"/>
      <c r="BG21" s="34"/>
      <c r="BH21" s="162"/>
    </row>
    <row r="22" spans="1:60" ht="51" customHeight="1" x14ac:dyDescent="0.25">
      <c r="A22" s="678"/>
      <c r="B22" s="586"/>
      <c r="C22" s="677"/>
      <c r="D22" s="677"/>
      <c r="E22" s="677"/>
      <c r="F22" s="680"/>
      <c r="G22" s="67" t="s">
        <v>455</v>
      </c>
      <c r="H22" s="74" t="s">
        <v>456</v>
      </c>
      <c r="I22" s="131" t="s">
        <v>748</v>
      </c>
      <c r="J22" s="131" t="s">
        <v>482</v>
      </c>
      <c r="K22" s="227" t="s">
        <v>740</v>
      </c>
      <c r="L22" s="676"/>
      <c r="M22" s="142"/>
      <c r="N22" s="53"/>
      <c r="O22" s="53"/>
      <c r="P22" s="7"/>
      <c r="Q22" s="7"/>
      <c r="R22" s="7"/>
      <c r="S22" s="7"/>
      <c r="T22" s="56"/>
      <c r="U22" s="55"/>
      <c r="V22" s="143" t="e">
        <f t="shared" si="1"/>
        <v>#DIV/0!</v>
      </c>
      <c r="W22" s="142"/>
      <c r="X22" s="53"/>
      <c r="Y22" s="53"/>
      <c r="Z22" s="7"/>
      <c r="AA22" s="7"/>
      <c r="AB22" s="7"/>
      <c r="AC22" s="7"/>
      <c r="AD22" s="56"/>
      <c r="AE22" s="55"/>
      <c r="AF22" s="143" t="e">
        <f t="shared" si="2"/>
        <v>#DIV/0!</v>
      </c>
      <c r="AG22" s="359"/>
      <c r="AH22" s="53"/>
      <c r="AI22" s="53"/>
      <c r="AJ22" s="7"/>
      <c r="AK22" s="7"/>
      <c r="AL22" s="7"/>
      <c r="AM22" s="7"/>
      <c r="AN22" s="56"/>
      <c r="AO22" s="56"/>
      <c r="AP22" s="143" t="e">
        <f t="shared" si="3"/>
        <v>#DIV/0!</v>
      </c>
      <c r="AQ22" s="361"/>
      <c r="AR22" s="53"/>
      <c r="AS22" s="53"/>
      <c r="AT22" s="7"/>
      <c r="AU22" s="7"/>
      <c r="AV22" s="7"/>
      <c r="AW22" s="56"/>
      <c r="AX22" s="53"/>
      <c r="AY22" s="143" t="e">
        <f t="shared" si="4"/>
        <v>#DIV/0!</v>
      </c>
      <c r="AZ22" s="25" t="str">
        <f>IFERROR(IF(V22&gt;=0,1,0),"-")</f>
        <v>-</v>
      </c>
      <c r="BA22" s="25" t="str">
        <f>IFERROR(IF(AF22&gt;=0,1,0),"-")</f>
        <v>-</v>
      </c>
      <c r="BB22" s="25" t="str">
        <f>IFERROR(IF(AP22&gt;=0,1,0),"-")</f>
        <v>-</v>
      </c>
      <c r="BC22" s="25" t="str">
        <f>IFERROR(IF(AY22&gt;=0,1,0),"-")</f>
        <v>-</v>
      </c>
      <c r="BD22" s="157" t="str">
        <f>IFERROR(AVERAGE(AZ22:BC22),"-")</f>
        <v>-</v>
      </c>
      <c r="BE22" s="163"/>
      <c r="BF22" s="29"/>
      <c r="BG22" s="27"/>
      <c r="BH22" s="193"/>
    </row>
    <row r="23" spans="1:60" ht="42" customHeight="1" x14ac:dyDescent="0.25">
      <c r="A23" s="237"/>
      <c r="B23" s="236"/>
      <c r="C23" s="238"/>
      <c r="D23" s="238"/>
      <c r="E23" s="238"/>
      <c r="F23" s="680"/>
      <c r="G23" s="288" t="s">
        <v>769</v>
      </c>
      <c r="H23" s="289" t="s">
        <v>771</v>
      </c>
      <c r="I23" s="298" t="s">
        <v>840</v>
      </c>
      <c r="J23" s="131" t="s">
        <v>482</v>
      </c>
      <c r="K23" s="227" t="s">
        <v>773</v>
      </c>
      <c r="L23" s="239"/>
      <c r="M23" s="253"/>
      <c r="N23" s="53"/>
      <c r="O23" s="53"/>
      <c r="P23" s="7"/>
      <c r="Q23" s="7"/>
      <c r="R23" s="7"/>
      <c r="S23" s="7"/>
      <c r="T23" s="57"/>
      <c r="U23" s="55"/>
      <c r="V23" s="143" t="e">
        <f t="shared" si="1"/>
        <v>#DIV/0!</v>
      </c>
      <c r="W23" s="253"/>
      <c r="X23" s="53"/>
      <c r="Y23" s="53"/>
      <c r="Z23" s="7"/>
      <c r="AA23" s="7"/>
      <c r="AB23" s="7"/>
      <c r="AC23" s="7"/>
      <c r="AD23" s="57"/>
      <c r="AE23" s="55"/>
      <c r="AF23" s="143" t="e">
        <f t="shared" si="2"/>
        <v>#DIV/0!</v>
      </c>
      <c r="AG23" s="240"/>
      <c r="AH23" s="241"/>
      <c r="AI23" s="241"/>
      <c r="AJ23" s="242"/>
      <c r="AK23" s="242"/>
      <c r="AL23" s="242"/>
      <c r="AM23" s="242"/>
      <c r="AN23" s="171"/>
      <c r="AO23" s="56"/>
      <c r="AP23" s="143" t="e">
        <f t="shared" si="3"/>
        <v>#DIV/0!</v>
      </c>
      <c r="AQ23" s="240"/>
      <c r="AR23" s="241"/>
      <c r="AS23" s="241"/>
      <c r="AT23" s="242"/>
      <c r="AU23" s="242"/>
      <c r="AV23" s="242"/>
      <c r="AW23" s="171"/>
      <c r="AX23" s="53"/>
      <c r="AY23" s="143" t="e">
        <f t="shared" si="4"/>
        <v>#DIV/0!</v>
      </c>
      <c r="AZ23" s="25" t="str">
        <f>IFERROR(IF(V23&gt;=0.95,1,(V23*100%)/0.95),"-")</f>
        <v>-</v>
      </c>
      <c r="BA23" s="25" t="str">
        <f>IFERROR(IF(AF23&gt;=0.95,1,(AF23*100%)/0.95),"-")</f>
        <v>-</v>
      </c>
      <c r="BB23" s="25" t="str">
        <f>IFERROR(IF(AP23&gt;=0.95,1,(AP23*100%)/0.95),"-")</f>
        <v>-</v>
      </c>
      <c r="BC23" s="25" t="str">
        <f>IFERROR(IF(AY23&gt;=0.95,1,(AY23*100%)/0.95),"-")</f>
        <v>-</v>
      </c>
      <c r="BD23" s="157" t="str">
        <f t="shared" ref="BD23:BD25" si="7">IFERROR(AVERAGE(AZ23:BC23),"-")</f>
        <v>-</v>
      </c>
      <c r="BE23" s="243"/>
      <c r="BF23" s="244"/>
      <c r="BG23" s="245"/>
      <c r="BH23" s="246"/>
    </row>
    <row r="24" spans="1:60" ht="85.5" customHeight="1" x14ac:dyDescent="0.25">
      <c r="A24" s="237"/>
      <c r="B24" s="236"/>
      <c r="C24" s="238"/>
      <c r="D24" s="238"/>
      <c r="E24" s="238"/>
      <c r="F24" s="680"/>
      <c r="G24" s="288" t="s">
        <v>632</v>
      </c>
      <c r="H24" s="75" t="s">
        <v>747</v>
      </c>
      <c r="I24" s="290">
        <v>1</v>
      </c>
      <c r="J24" s="131" t="s">
        <v>482</v>
      </c>
      <c r="K24" s="298" t="s">
        <v>633</v>
      </c>
      <c r="L24" s="239"/>
      <c r="M24" s="253"/>
      <c r="N24" s="53"/>
      <c r="O24" s="53"/>
      <c r="P24" s="7"/>
      <c r="Q24" s="7"/>
      <c r="R24" s="7"/>
      <c r="S24" s="7"/>
      <c r="T24" s="57"/>
      <c r="U24" s="55"/>
      <c r="V24" s="143" t="e">
        <f t="shared" si="1"/>
        <v>#DIV/0!</v>
      </c>
      <c r="W24" s="253"/>
      <c r="X24" s="53"/>
      <c r="Y24" s="53"/>
      <c r="Z24" s="7"/>
      <c r="AA24" s="7"/>
      <c r="AB24" s="7"/>
      <c r="AC24" s="7"/>
      <c r="AD24" s="57"/>
      <c r="AE24" s="55"/>
      <c r="AF24" s="143" t="e">
        <f t="shared" si="2"/>
        <v>#DIV/0!</v>
      </c>
      <c r="AG24" s="240"/>
      <c r="AH24" s="241"/>
      <c r="AI24" s="241"/>
      <c r="AJ24" s="242"/>
      <c r="AK24" s="242"/>
      <c r="AL24" s="242"/>
      <c r="AM24" s="242"/>
      <c r="AN24" s="171"/>
      <c r="AO24" s="56"/>
      <c r="AP24" s="143" t="e">
        <f t="shared" si="3"/>
        <v>#DIV/0!</v>
      </c>
      <c r="AQ24" s="240"/>
      <c r="AR24" s="241"/>
      <c r="AS24" s="241"/>
      <c r="AT24" s="401"/>
      <c r="AU24" s="242"/>
      <c r="AV24" s="242"/>
      <c r="AW24" s="171"/>
      <c r="AX24" s="53"/>
      <c r="AY24" s="143" t="e">
        <f t="shared" si="4"/>
        <v>#DIV/0!</v>
      </c>
      <c r="AZ24" s="25" t="str">
        <f>IFERROR(IF(V24&gt;1,1,(V24*100%)/1),"-")</f>
        <v>-</v>
      </c>
      <c r="BA24" s="25" t="str">
        <f>IFERROR((AF24*100%)/$I$24,"-")</f>
        <v>-</v>
      </c>
      <c r="BB24" s="25" t="str">
        <f>IFERROR((AP24*100%)/$I$24,"-")</f>
        <v>-</v>
      </c>
      <c r="BC24" s="25" t="str">
        <f t="shared" ref="BC24" si="8">IFERROR((AY24*100%)/$I$22,"-")</f>
        <v>-</v>
      </c>
      <c r="BD24" s="157" t="str">
        <f t="shared" si="7"/>
        <v>-</v>
      </c>
      <c r="BE24" s="243"/>
      <c r="BF24" s="244"/>
      <c r="BG24" s="245"/>
      <c r="BH24" s="246"/>
    </row>
    <row r="25" spans="1:60" ht="55.5" customHeight="1" x14ac:dyDescent="0.25">
      <c r="A25" s="237"/>
      <c r="B25" s="236"/>
      <c r="C25" s="238"/>
      <c r="D25" s="238"/>
      <c r="E25" s="238"/>
      <c r="F25" s="681"/>
      <c r="G25" s="288" t="s">
        <v>604</v>
      </c>
      <c r="H25" s="289" t="s">
        <v>39</v>
      </c>
      <c r="I25" s="290" t="s">
        <v>141</v>
      </c>
      <c r="J25" s="131" t="s">
        <v>482</v>
      </c>
      <c r="K25" s="294"/>
      <c r="L25" s="239"/>
      <c r="M25" s="671" t="s">
        <v>605</v>
      </c>
      <c r="N25" s="672"/>
      <c r="O25" s="672"/>
      <c r="P25" s="672"/>
      <c r="Q25" s="672"/>
      <c r="R25" s="672"/>
      <c r="S25" s="672"/>
      <c r="T25" s="672"/>
      <c r="U25" s="673"/>
      <c r="V25" s="143" t="e">
        <f>AVERAGE(V7:V24)</f>
        <v>#DIV/0!</v>
      </c>
      <c r="W25" s="671" t="s">
        <v>605</v>
      </c>
      <c r="X25" s="672"/>
      <c r="Y25" s="672"/>
      <c r="Z25" s="672"/>
      <c r="AA25" s="672"/>
      <c r="AB25" s="672"/>
      <c r="AC25" s="672"/>
      <c r="AD25" s="672"/>
      <c r="AE25" s="673"/>
      <c r="AF25" s="143" t="e">
        <f>AVERAGE(AF7:AF24)</f>
        <v>#DIV/0!</v>
      </c>
      <c r="AG25" s="240"/>
      <c r="AH25" s="241"/>
      <c r="AI25" s="241"/>
      <c r="AJ25" s="242"/>
      <c r="AK25" s="242"/>
      <c r="AL25" s="242"/>
      <c r="AM25" s="242"/>
      <c r="AN25" s="171"/>
      <c r="AO25" s="56"/>
      <c r="AP25" s="143" t="e">
        <f t="shared" si="3"/>
        <v>#DIV/0!</v>
      </c>
      <c r="AQ25" s="240"/>
      <c r="AR25" s="241"/>
      <c r="AS25" s="241"/>
      <c r="AT25" s="242"/>
      <c r="AU25" s="242"/>
      <c r="AV25" s="242"/>
      <c r="AW25" s="171"/>
      <c r="AX25" s="56"/>
      <c r="AY25" s="143" t="e">
        <f t="shared" ref="AY25" si="9">+AVERAGE(AQ25:AV25)</f>
        <v>#DIV/0!</v>
      </c>
      <c r="AZ25" s="25" t="str">
        <f>IFERROR(IF(V25&gt;=0.9,1,(V25*100%)/0.9),"-")</f>
        <v>-</v>
      </c>
      <c r="BA25" s="25" t="str">
        <f>IFERROR(IF(AF25&gt;=0.9,1,(AF25*100%)/0.9),"-")</f>
        <v>-</v>
      </c>
      <c r="BB25" s="25" t="str">
        <f>IFERROR(IF(AP25&gt;=0.9,1,(AP25*100%)/0.9),"-")</f>
        <v>-</v>
      </c>
      <c r="BC25" s="25" t="str">
        <f>IFERROR(IF(AY25&gt;=0.9,1,(AY25*100%)/0.9),"-")</f>
        <v>-</v>
      </c>
      <c r="BD25" s="157" t="str">
        <f t="shared" si="7"/>
        <v>-</v>
      </c>
      <c r="BE25" s="243"/>
      <c r="BF25" s="244"/>
      <c r="BG25" s="245"/>
      <c r="BH25" s="246"/>
    </row>
    <row r="26" spans="1:60" ht="27" customHeight="1" thickBot="1" x14ac:dyDescent="0.3">
      <c r="A26" s="601" t="s">
        <v>293</v>
      </c>
      <c r="B26" s="602"/>
      <c r="C26" s="602"/>
      <c r="D26" s="602"/>
      <c r="E26" s="602"/>
      <c r="F26" s="602"/>
      <c r="G26" s="602"/>
      <c r="H26" s="602"/>
      <c r="I26" s="602"/>
      <c r="J26" s="602"/>
      <c r="K26" s="603"/>
      <c r="L26" s="426" t="s">
        <v>760</v>
      </c>
      <c r="M26" s="360"/>
      <c r="N26" s="306" t="str">
        <f>IFERROR(AVERAGE(N7:N22),"-")</f>
        <v>-</v>
      </c>
      <c r="O26" s="306" t="str">
        <f>IFERROR(AVERAGE(O7:O22),"-")</f>
        <v>-</v>
      </c>
      <c r="P26" s="306" t="str">
        <f>IFERROR(AVERAGE(P7:P24),"-")</f>
        <v>-</v>
      </c>
      <c r="Q26" s="306" t="str">
        <f>IFERROR(AVERAGE(Q7:Q22),"-")</f>
        <v>-</v>
      </c>
      <c r="R26" s="306" t="str">
        <f>IFERROR(AVERAGE(R7:R22),"-")</f>
        <v>-</v>
      </c>
      <c r="S26" s="306" t="str">
        <f>IFERROR(AVERAGE(S7:S22),"-")</f>
        <v>-</v>
      </c>
      <c r="T26" s="147"/>
      <c r="U26" s="118"/>
      <c r="V26" s="291"/>
      <c r="W26" s="360"/>
      <c r="X26" s="306" t="str">
        <f>IFERROR(AVERAGE(X7:X22),"-")</f>
        <v>-</v>
      </c>
      <c r="Y26" s="306" t="str">
        <f>IFERROR(AVERAGE(Y7:Y22),"-")</f>
        <v>-</v>
      </c>
      <c r="Z26" s="306" t="str">
        <f>IFERROR(AVERAGE(Z7:Z24),"-")</f>
        <v>-</v>
      </c>
      <c r="AA26" s="306" t="str">
        <f>IFERROR(AVERAGE(AA7:AA22),"-")</f>
        <v>-</v>
      </c>
      <c r="AB26" s="306" t="str">
        <f>IFERROR(AVERAGE(AB7:AB22),"-")</f>
        <v>-</v>
      </c>
      <c r="AC26" s="306" t="str">
        <f>IFERROR(AVERAGE(AC7:AC22),"-")</f>
        <v>-</v>
      </c>
      <c r="AD26" s="147"/>
      <c r="AE26" s="118"/>
      <c r="AF26" s="291"/>
      <c r="AG26" s="170" t="str">
        <f t="shared" ref="AG26:AM26" si="10">IFERROR(AVERAGE(AG7:AG22),"-")</f>
        <v>-</v>
      </c>
      <c r="AH26" s="171" t="str">
        <f t="shared" si="10"/>
        <v>-</v>
      </c>
      <c r="AI26" s="171" t="str">
        <f t="shared" si="10"/>
        <v>-</v>
      </c>
      <c r="AJ26" s="171" t="str">
        <f t="shared" si="10"/>
        <v>-</v>
      </c>
      <c r="AK26" s="171" t="str">
        <f t="shared" si="10"/>
        <v>-</v>
      </c>
      <c r="AL26" s="171" t="str">
        <f t="shared" si="10"/>
        <v>-</v>
      </c>
      <c r="AM26" s="171" t="str">
        <f t="shared" si="10"/>
        <v>-</v>
      </c>
      <c r="AN26" s="147"/>
      <c r="AO26" s="118"/>
      <c r="AP26" s="669" t="str">
        <f t="shared" ref="AP26:AV26" si="11">IFERROR(AVERAGE(AP7:AP22),"-")</f>
        <v>-</v>
      </c>
      <c r="AQ26" s="170" t="str">
        <f t="shared" si="11"/>
        <v>-</v>
      </c>
      <c r="AR26" s="171" t="str">
        <f t="shared" si="11"/>
        <v>-</v>
      </c>
      <c r="AS26" s="171" t="str">
        <f t="shared" si="11"/>
        <v>-</v>
      </c>
      <c r="AT26" s="171" t="str">
        <f t="shared" si="11"/>
        <v>-</v>
      </c>
      <c r="AU26" s="171" t="str">
        <f t="shared" si="11"/>
        <v>-</v>
      </c>
      <c r="AV26" s="171" t="str">
        <f t="shared" si="11"/>
        <v>-</v>
      </c>
      <c r="AW26" s="147"/>
      <c r="AX26" s="118"/>
      <c r="AY26" s="619" t="str">
        <f>IFERROR(AVERAGE(AY7:AY22),"-")</f>
        <v>-</v>
      </c>
      <c r="AZ26" s="170" t="str">
        <f>IFERROR(AVERAGE(AZ7:AZ22),"-")</f>
        <v>-</v>
      </c>
      <c r="BA26" s="171" t="str">
        <f>IFERROR(AVERAGE(BA7:BA25),"-")</f>
        <v>-</v>
      </c>
      <c r="BB26" s="171" t="str">
        <f t="shared" ref="BB26:BC26" si="12">IFERROR(AVERAGE(BB7:BB25),"-")</f>
        <v>-</v>
      </c>
      <c r="BC26" s="171" t="str">
        <f t="shared" si="12"/>
        <v>-</v>
      </c>
      <c r="BD26" s="667" t="str">
        <f>IFERROR(AVERAGE(BD7:BD25),"-")</f>
        <v>-</v>
      </c>
      <c r="BE26" s="165"/>
      <c r="BF26" s="166"/>
      <c r="BG26" s="167"/>
      <c r="BH26" s="168"/>
    </row>
    <row r="27" spans="1:60" ht="27" thickBot="1" x14ac:dyDescent="0.3">
      <c r="A27" s="28"/>
      <c r="B27" s="28"/>
      <c r="C27" s="28"/>
      <c r="D27" s="28"/>
      <c r="E27" s="28"/>
      <c r="F27" s="36"/>
      <c r="G27" s="28"/>
      <c r="H27" s="103"/>
      <c r="I27" s="103"/>
      <c r="J27" s="103"/>
      <c r="K27" s="103"/>
      <c r="L27" s="28"/>
      <c r="M27" s="197"/>
      <c r="N27" s="173"/>
      <c r="O27" s="173"/>
      <c r="P27" s="173"/>
      <c r="Q27" s="173"/>
      <c r="R27" s="173"/>
      <c r="S27" s="181"/>
      <c r="T27" s="180"/>
      <c r="U27" s="674" t="s">
        <v>795</v>
      </c>
      <c r="V27" s="675"/>
      <c r="W27" s="197"/>
      <c r="X27" s="173"/>
      <c r="Y27" s="173"/>
      <c r="Z27" s="173"/>
      <c r="AA27" s="173"/>
      <c r="AB27" s="173"/>
      <c r="AC27" s="181"/>
      <c r="AD27" s="180"/>
      <c r="AE27" s="674" t="s">
        <v>295</v>
      </c>
      <c r="AF27" s="675"/>
      <c r="AG27" s="195"/>
      <c r="AH27" s="173"/>
      <c r="AI27" s="173"/>
      <c r="AJ27" s="173"/>
      <c r="AK27" s="173"/>
      <c r="AL27" s="173"/>
      <c r="AM27" s="173"/>
      <c r="AN27" s="180"/>
      <c r="AO27" s="187" t="s">
        <v>471</v>
      </c>
      <c r="AP27" s="670"/>
      <c r="AQ27" s="195"/>
      <c r="AR27" s="173"/>
      <c r="AS27" s="173"/>
      <c r="AT27" s="173"/>
      <c r="AU27" s="173"/>
      <c r="AV27" s="173"/>
      <c r="AW27" s="180"/>
      <c r="AX27" s="187" t="s">
        <v>472</v>
      </c>
      <c r="AY27" s="620"/>
      <c r="AZ27" s="172"/>
      <c r="BA27" s="173"/>
      <c r="BB27" s="174"/>
      <c r="BC27" s="158" t="s">
        <v>294</v>
      </c>
      <c r="BD27" s="668"/>
      <c r="BE27" s="28"/>
      <c r="BF27" s="28"/>
      <c r="BG27" s="28"/>
      <c r="BH27" s="28"/>
    </row>
  </sheetData>
  <mergeCells count="48">
    <mergeCell ref="C7:C22"/>
    <mergeCell ref="D7:D22"/>
    <mergeCell ref="E7:E22"/>
    <mergeCell ref="F5:F6"/>
    <mergeCell ref="A7:A22"/>
    <mergeCell ref="B7:B22"/>
    <mergeCell ref="F7:F25"/>
    <mergeCell ref="W25:AE25"/>
    <mergeCell ref="AE27:AF27"/>
    <mergeCell ref="AE5:AE6"/>
    <mergeCell ref="AD5:AD6"/>
    <mergeCell ref="L7:L22"/>
    <mergeCell ref="T5:T6"/>
    <mergeCell ref="U5:U6"/>
    <mergeCell ref="M25:U25"/>
    <mergeCell ref="U27:V27"/>
    <mergeCell ref="L5:L6"/>
    <mergeCell ref="V5:V6"/>
    <mergeCell ref="BD26:BD27"/>
    <mergeCell ref="AN5:AN6"/>
    <mergeCell ref="AO5:AO6"/>
    <mergeCell ref="AW5:AW6"/>
    <mergeCell ref="AX5:AX6"/>
    <mergeCell ref="AY26:AY27"/>
    <mergeCell ref="AP26:AP27"/>
    <mergeCell ref="AY5:AY6"/>
    <mergeCell ref="K5:K6"/>
    <mergeCell ref="E5:E6"/>
    <mergeCell ref="J5:J6"/>
    <mergeCell ref="G5:G6"/>
    <mergeCell ref="H5:H6"/>
    <mergeCell ref="I5:I6"/>
    <mergeCell ref="A26:K26"/>
    <mergeCell ref="A1:B1"/>
    <mergeCell ref="C1:BE1"/>
    <mergeCell ref="A5:A6"/>
    <mergeCell ref="B5:B6"/>
    <mergeCell ref="C5:C6"/>
    <mergeCell ref="D5:D6"/>
    <mergeCell ref="BE5:BH5"/>
    <mergeCell ref="AZ5:BD5"/>
    <mergeCell ref="AF5:AF6"/>
    <mergeCell ref="AP5:AP6"/>
    <mergeCell ref="BF1:BH2"/>
    <mergeCell ref="A2:B3"/>
    <mergeCell ref="C2:BE3"/>
    <mergeCell ref="BF3:BH3"/>
    <mergeCell ref="A4:D4"/>
  </mergeCells>
  <conditionalFormatting sqref="AZ7:BD25 BD26">
    <cfRule type="cellIs" dxfId="53" priority="1" operator="lessThan">
      <formula>0.6</formula>
    </cfRule>
    <cfRule type="cellIs" dxfId="52" priority="2" operator="between">
      <formula>60%</formula>
      <formula>79%</formula>
    </cfRule>
    <cfRule type="cellIs" dxfId="51" priority="3" operator="between">
      <formula>80%</formula>
      <formula>100%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1:AK11"/>
  <sheetViews>
    <sheetView topLeftCell="A2" zoomScale="70" zoomScaleNormal="70" workbookViewId="0">
      <selection activeCell="AE8" sqref="AE8"/>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7" max="7" width="20" customWidth="1"/>
    <col min="8" max="8" width="28.140625" style="63" customWidth="1"/>
    <col min="9" max="10" width="14.42578125" style="63" customWidth="1"/>
    <col min="11" max="11" width="18.7109375" customWidth="1"/>
    <col min="12" max="12" width="16.7109375" customWidth="1"/>
    <col min="13" max="13" width="19.42578125" style="63" customWidth="1"/>
    <col min="14" max="14" width="28.85546875" customWidth="1"/>
    <col min="15" max="16" width="21.85546875" customWidth="1"/>
    <col min="17" max="17" width="19.42578125" style="63" customWidth="1"/>
    <col min="18" max="18" width="28.85546875" customWidth="1"/>
    <col min="19" max="20" width="21.85546875" customWidth="1"/>
    <col min="21" max="21" width="19.42578125" customWidth="1"/>
    <col min="22" max="22" width="28.85546875" customWidth="1"/>
    <col min="23" max="24" width="21.85546875" customWidth="1"/>
    <col min="25" max="25" width="19.42578125" customWidth="1"/>
    <col min="26" max="26" width="28.85546875" customWidth="1"/>
    <col min="27" max="28" width="21.85546875" customWidth="1"/>
    <col min="29" max="33" width="17.7109375" customWidth="1"/>
    <col min="34" max="37" width="26.5703125" customWidth="1"/>
  </cols>
  <sheetData>
    <row r="1" spans="1:37"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15.75" thickBot="1" x14ac:dyDescent="0.3">
      <c r="A4" s="572" t="s">
        <v>193</v>
      </c>
      <c r="B4" s="572"/>
      <c r="C4" s="572"/>
      <c r="D4" s="572"/>
      <c r="E4" s="28"/>
      <c r="F4" s="36"/>
      <c r="G4" s="28"/>
      <c r="H4" s="103"/>
      <c r="I4" s="103"/>
      <c r="J4" s="103"/>
      <c r="K4" s="28"/>
      <c r="L4" s="28"/>
      <c r="M4" s="54"/>
      <c r="N4" s="28"/>
      <c r="O4" s="28"/>
      <c r="P4" s="28"/>
      <c r="Q4" s="54"/>
      <c r="R4" s="28"/>
      <c r="S4" s="28"/>
      <c r="T4" s="28"/>
      <c r="U4" s="54"/>
      <c r="V4" s="28"/>
      <c r="W4" s="28"/>
      <c r="X4" s="28"/>
      <c r="Y4" s="54"/>
      <c r="Z4" s="28"/>
      <c r="AA4" s="28"/>
      <c r="AB4" s="28"/>
      <c r="AC4" s="28"/>
      <c r="AD4" s="28"/>
      <c r="AE4" s="28"/>
      <c r="AF4" s="28"/>
      <c r="AG4" s="28"/>
      <c r="AH4" s="28"/>
      <c r="AI4" s="28"/>
      <c r="AJ4" s="28"/>
      <c r="AK4" s="28"/>
    </row>
    <row r="5" spans="1:37" ht="57" customHeight="1" x14ac:dyDescent="0.25">
      <c r="A5" s="583" t="s">
        <v>1</v>
      </c>
      <c r="B5" s="575" t="s">
        <v>3</v>
      </c>
      <c r="C5" s="575" t="s">
        <v>194</v>
      </c>
      <c r="D5" s="575" t="s">
        <v>195</v>
      </c>
      <c r="E5" s="575" t="s">
        <v>196</v>
      </c>
      <c r="F5" s="581" t="s">
        <v>781</v>
      </c>
      <c r="G5" s="575" t="s">
        <v>228</v>
      </c>
      <c r="H5" s="575" t="s">
        <v>227</v>
      </c>
      <c r="I5" s="575" t="s">
        <v>8</v>
      </c>
      <c r="J5" s="575" t="s">
        <v>481</v>
      </c>
      <c r="K5" s="575" t="s">
        <v>501</v>
      </c>
      <c r="L5" s="579" t="s">
        <v>9</v>
      </c>
      <c r="M5" s="177" t="s">
        <v>315</v>
      </c>
      <c r="N5" s="655" t="s">
        <v>414</v>
      </c>
      <c r="O5" s="573" t="s">
        <v>416</v>
      </c>
      <c r="P5" s="563" t="s">
        <v>776</v>
      </c>
      <c r="Q5" s="177" t="s">
        <v>315</v>
      </c>
      <c r="R5" s="655" t="s">
        <v>414</v>
      </c>
      <c r="S5" s="573" t="s">
        <v>416</v>
      </c>
      <c r="T5" s="563" t="s">
        <v>474</v>
      </c>
      <c r="U5" s="177" t="s">
        <v>315</v>
      </c>
      <c r="V5" s="655" t="s">
        <v>414</v>
      </c>
      <c r="W5" s="573" t="s">
        <v>416</v>
      </c>
      <c r="X5" s="563" t="s">
        <v>477</v>
      </c>
      <c r="Y5" s="177" t="s">
        <v>315</v>
      </c>
      <c r="Z5" s="655" t="s">
        <v>414</v>
      </c>
      <c r="AA5" s="573" t="s">
        <v>416</v>
      </c>
      <c r="AB5" s="563" t="s">
        <v>487</v>
      </c>
      <c r="AC5" s="626" t="s">
        <v>11</v>
      </c>
      <c r="AD5" s="627"/>
      <c r="AE5" s="627"/>
      <c r="AF5" s="627"/>
      <c r="AG5" s="628"/>
      <c r="AH5" s="569" t="s">
        <v>539</v>
      </c>
      <c r="AI5" s="570"/>
      <c r="AJ5" s="570"/>
      <c r="AK5" s="571"/>
    </row>
    <row r="6" spans="1:37" ht="57" customHeight="1" x14ac:dyDescent="0.25">
      <c r="A6" s="584"/>
      <c r="B6" s="514"/>
      <c r="C6" s="514"/>
      <c r="D6" s="514"/>
      <c r="E6" s="514"/>
      <c r="F6" s="582"/>
      <c r="G6" s="514"/>
      <c r="H6" s="514"/>
      <c r="I6" s="514"/>
      <c r="J6" s="514"/>
      <c r="K6" s="514"/>
      <c r="L6" s="580"/>
      <c r="M6" s="141" t="s">
        <v>775</v>
      </c>
      <c r="N6" s="656"/>
      <c r="O6" s="574"/>
      <c r="P6" s="564"/>
      <c r="Q6" s="141" t="s">
        <v>298</v>
      </c>
      <c r="R6" s="656"/>
      <c r="S6" s="574"/>
      <c r="T6" s="564"/>
      <c r="U6" s="141" t="s">
        <v>287</v>
      </c>
      <c r="V6" s="656"/>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37" ht="46.5" customHeight="1" x14ac:dyDescent="0.25">
      <c r="A7" s="686" t="s">
        <v>76</v>
      </c>
      <c r="B7" s="683" t="s">
        <v>678</v>
      </c>
      <c r="C7" s="683" t="s">
        <v>679</v>
      </c>
      <c r="D7" s="683" t="s">
        <v>82</v>
      </c>
      <c r="E7" s="683" t="s">
        <v>681</v>
      </c>
      <c r="F7" s="685">
        <v>0.85</v>
      </c>
      <c r="G7" s="67" t="s">
        <v>461</v>
      </c>
      <c r="H7" s="74" t="s">
        <v>462</v>
      </c>
      <c r="I7" s="65">
        <v>1</v>
      </c>
      <c r="J7" s="65" t="s">
        <v>482</v>
      </c>
      <c r="K7" s="130" t="s">
        <v>630</v>
      </c>
      <c r="L7" s="682"/>
      <c r="M7" s="142"/>
      <c r="N7" s="7"/>
      <c r="O7" s="7"/>
      <c r="P7" s="207">
        <f>+M7</f>
        <v>0</v>
      </c>
      <c r="Q7" s="142"/>
      <c r="R7" s="7"/>
      <c r="S7" s="7"/>
      <c r="T7" s="207">
        <f>+Q7</f>
        <v>0</v>
      </c>
      <c r="U7" s="142"/>
      <c r="V7" s="7"/>
      <c r="W7" s="7"/>
      <c r="X7" s="207">
        <f t="shared" ref="X7:X9" si="0">+U7</f>
        <v>0</v>
      </c>
      <c r="Y7" s="142"/>
      <c r="Z7" s="7"/>
      <c r="AA7" s="7"/>
      <c r="AB7" s="207">
        <f>+Y7</f>
        <v>0</v>
      </c>
      <c r="AC7" s="25">
        <f>IFERROR((P7*100%)/I7,"-")</f>
        <v>0</v>
      </c>
      <c r="AD7" s="25">
        <f>IFERROR((P7*100%)/I7,"-")</f>
        <v>0</v>
      </c>
      <c r="AE7" s="25">
        <f>IFERROR((X7*100%)/I7,"-")</f>
        <v>0</v>
      </c>
      <c r="AF7" s="25">
        <f>IFERROR((AB7*100%)/I7,"-")</f>
        <v>0</v>
      </c>
      <c r="AG7" s="157">
        <f>IFERROR(AVERAGE(AC7:AF7),"-")</f>
        <v>0</v>
      </c>
      <c r="AH7" s="163"/>
      <c r="AI7" s="29"/>
      <c r="AJ7" s="27"/>
      <c r="AK7" s="164"/>
    </row>
    <row r="8" spans="1:37" ht="49.5" customHeight="1" x14ac:dyDescent="0.25">
      <c r="A8" s="687"/>
      <c r="B8" s="683"/>
      <c r="C8" s="683"/>
      <c r="D8" s="683"/>
      <c r="E8" s="683"/>
      <c r="F8" s="683"/>
      <c r="G8" s="67" t="s">
        <v>836</v>
      </c>
      <c r="H8" s="74" t="s">
        <v>835</v>
      </c>
      <c r="I8" s="65">
        <v>1</v>
      </c>
      <c r="J8" s="65" t="s">
        <v>482</v>
      </c>
      <c r="K8" s="130" t="s">
        <v>630</v>
      </c>
      <c r="L8" s="682"/>
      <c r="M8" s="142"/>
      <c r="N8" s="53"/>
      <c r="O8" s="7"/>
      <c r="P8" s="207">
        <f>+M8</f>
        <v>0</v>
      </c>
      <c r="Q8" s="142"/>
      <c r="R8" s="53"/>
      <c r="S8" s="7"/>
      <c r="T8" s="207">
        <f>+Q8</f>
        <v>0</v>
      </c>
      <c r="U8" s="142"/>
      <c r="V8" s="53"/>
      <c r="W8" s="7"/>
      <c r="X8" s="207">
        <f t="shared" si="0"/>
        <v>0</v>
      </c>
      <c r="Y8" s="142"/>
      <c r="Z8" s="53"/>
      <c r="AA8" s="7"/>
      <c r="AB8" s="207">
        <f>+Y8</f>
        <v>0</v>
      </c>
      <c r="AC8" s="25">
        <f>IFERROR((P8*100%)/I8,"-")</f>
        <v>0</v>
      </c>
      <c r="AD8" s="25">
        <f>IFERROR((P8*100%)/I8,"-")</f>
        <v>0</v>
      </c>
      <c r="AE8" s="25">
        <f>IFERROR((X8*100%)/I8,"-")</f>
        <v>0</v>
      </c>
      <c r="AF8" s="25">
        <f>IFERROR((AB8*100%)/I8,"-")</f>
        <v>0</v>
      </c>
      <c r="AG8" s="157">
        <f>IFERROR(AVERAGE(AC8:AF8),"-")</f>
        <v>0</v>
      </c>
      <c r="AH8" s="163"/>
      <c r="AI8" s="29"/>
      <c r="AJ8" s="27"/>
      <c r="AK8" s="193"/>
    </row>
    <row r="9" spans="1:37" ht="63.75" customHeight="1" x14ac:dyDescent="0.25">
      <c r="A9" s="687"/>
      <c r="B9" s="683"/>
      <c r="C9" s="683"/>
      <c r="D9" s="683"/>
      <c r="E9" s="683"/>
      <c r="F9" s="683"/>
      <c r="G9" s="67" t="s">
        <v>837</v>
      </c>
      <c r="H9" s="74" t="s">
        <v>835</v>
      </c>
      <c r="I9" s="65">
        <v>1</v>
      </c>
      <c r="J9" s="65" t="s">
        <v>482</v>
      </c>
      <c r="K9" s="130" t="s">
        <v>630</v>
      </c>
      <c r="L9" s="682"/>
      <c r="M9" s="142"/>
      <c r="N9" s="53"/>
      <c r="O9" s="53"/>
      <c r="P9" s="207">
        <f>+M9</f>
        <v>0</v>
      </c>
      <c r="Q9" s="142"/>
      <c r="R9" s="53"/>
      <c r="S9" s="53"/>
      <c r="T9" s="207">
        <f>+Q9</f>
        <v>0</v>
      </c>
      <c r="U9" s="142"/>
      <c r="V9" s="53"/>
      <c r="W9" s="53"/>
      <c r="X9" s="207">
        <f t="shared" si="0"/>
        <v>0</v>
      </c>
      <c r="Y9" s="142"/>
      <c r="Z9" s="53"/>
      <c r="AA9" s="53"/>
      <c r="AB9" s="207">
        <f>+Y9</f>
        <v>0</v>
      </c>
      <c r="AC9" s="25">
        <f>IFERROR((P9*100%)/I9,"-")</f>
        <v>0</v>
      </c>
      <c r="AD9" s="25">
        <f>IFERROR((P9*100%)/I9,"-")</f>
        <v>0</v>
      </c>
      <c r="AE9" s="25">
        <f>IFERROR((X9*100%)/I9,"-")</f>
        <v>0</v>
      </c>
      <c r="AF9" s="25">
        <f>IFERROR((AB9*100%)/I9,"-")</f>
        <v>0</v>
      </c>
      <c r="AG9" s="157">
        <f>IFERROR(AVERAGE(AC9:AF9),"-")</f>
        <v>0</v>
      </c>
      <c r="AH9" s="163"/>
      <c r="AI9" s="29"/>
      <c r="AJ9" s="27"/>
      <c r="AK9" s="193"/>
    </row>
    <row r="10" spans="1:37" ht="27" customHeight="1" thickBot="1" x14ac:dyDescent="0.3">
      <c r="A10" s="601" t="s">
        <v>293</v>
      </c>
      <c r="B10" s="602"/>
      <c r="C10" s="602"/>
      <c r="D10" s="602"/>
      <c r="E10" s="602"/>
      <c r="F10" s="602"/>
      <c r="G10" s="602"/>
      <c r="H10" s="602"/>
      <c r="I10" s="602"/>
      <c r="J10" s="602"/>
      <c r="K10" s="603"/>
      <c r="L10" s="427" t="s">
        <v>760</v>
      </c>
      <c r="M10" s="170" t="str">
        <f>IFERROR(AVERAGE(M7:M9),"-")</f>
        <v>-</v>
      </c>
      <c r="N10" s="147"/>
      <c r="O10" s="118"/>
      <c r="P10" s="291"/>
      <c r="Q10" s="170" t="str">
        <f>IFERROR(AVERAGE(Q7:Q9),"-")</f>
        <v>-</v>
      </c>
      <c r="R10" s="147"/>
      <c r="S10" s="118"/>
      <c r="T10" s="291"/>
      <c r="U10" s="170" t="str">
        <f>IFERROR(AVERAGE(U7:U9),"-")</f>
        <v>-</v>
      </c>
      <c r="V10" s="147"/>
      <c r="W10" s="118"/>
      <c r="X10" s="684">
        <f>IFERROR(AVERAGE(X7:X9),"-")</f>
        <v>0</v>
      </c>
      <c r="Y10" s="170" t="str">
        <f>IFERROR(AVERAGE(Y7:Y9),"-")</f>
        <v>-</v>
      </c>
      <c r="Z10" s="147"/>
      <c r="AA10" s="118"/>
      <c r="AB10" s="684">
        <f t="shared" ref="AB10:AG10" si="1">IFERROR(AVERAGE(AB7:AB9),"-")</f>
        <v>0</v>
      </c>
      <c r="AC10" s="170">
        <f t="shared" si="1"/>
        <v>0</v>
      </c>
      <c r="AD10" s="171">
        <f t="shared" si="1"/>
        <v>0</v>
      </c>
      <c r="AE10" s="171">
        <f t="shared" si="1"/>
        <v>0</v>
      </c>
      <c r="AF10" s="56">
        <f t="shared" si="1"/>
        <v>0</v>
      </c>
      <c r="AG10" s="667">
        <f t="shared" si="1"/>
        <v>0</v>
      </c>
      <c r="AH10" s="165"/>
      <c r="AI10" s="166"/>
      <c r="AJ10" s="167"/>
      <c r="AK10" s="168"/>
    </row>
    <row r="11" spans="1:37" ht="27" thickBot="1" x14ac:dyDescent="0.3">
      <c r="A11" s="28"/>
      <c r="B11" s="28"/>
      <c r="C11" s="28"/>
      <c r="D11" s="28"/>
      <c r="E11" s="28"/>
      <c r="F11" s="36"/>
      <c r="G11" s="28"/>
      <c r="H11" s="103"/>
      <c r="I11" s="103"/>
      <c r="J11" s="103"/>
      <c r="K11" s="28"/>
      <c r="L11" s="28"/>
      <c r="M11" s="208"/>
      <c r="N11" s="180"/>
      <c r="O11" s="674" t="s">
        <v>795</v>
      </c>
      <c r="P11" s="675"/>
      <c r="Q11" s="208"/>
      <c r="R11" s="180"/>
      <c r="S11" s="674" t="s">
        <v>295</v>
      </c>
      <c r="T11" s="675"/>
      <c r="U11" s="179"/>
      <c r="V11" s="180"/>
      <c r="W11" s="187" t="s">
        <v>296</v>
      </c>
      <c r="X11" s="639"/>
      <c r="Y11" s="179"/>
      <c r="Z11" s="180"/>
      <c r="AA11" s="187" t="s">
        <v>297</v>
      </c>
      <c r="AB11" s="639"/>
      <c r="AC11" s="172"/>
      <c r="AD11" s="173"/>
      <c r="AE11" s="174"/>
      <c r="AF11" s="158" t="s">
        <v>294</v>
      </c>
      <c r="AG11" s="668"/>
      <c r="AH11" s="28"/>
      <c r="AI11" s="28"/>
      <c r="AJ11" s="28"/>
      <c r="AK11" s="28"/>
    </row>
  </sheetData>
  <mergeCells count="46">
    <mergeCell ref="AG10:AG11"/>
    <mergeCell ref="AB5:AB6"/>
    <mergeCell ref="F7:F9"/>
    <mergeCell ref="G5:G6"/>
    <mergeCell ref="A7:A9"/>
    <mergeCell ref="R5:R6"/>
    <mergeCell ref="S5:S6"/>
    <mergeCell ref="V5:V6"/>
    <mergeCell ref="W5:W6"/>
    <mergeCell ref="AA5:AA6"/>
    <mergeCell ref="T5:T6"/>
    <mergeCell ref="X5:X6"/>
    <mergeCell ref="N5:N6"/>
    <mergeCell ref="O5:O6"/>
    <mergeCell ref="P5:P6"/>
    <mergeCell ref="Z5:Z6"/>
    <mergeCell ref="A1:B1"/>
    <mergeCell ref="C1:AH1"/>
    <mergeCell ref="A5:A6"/>
    <mergeCell ref="B5:B6"/>
    <mergeCell ref="C5:C6"/>
    <mergeCell ref="D5:D6"/>
    <mergeCell ref="AH5:AK5"/>
    <mergeCell ref="H5:H6"/>
    <mergeCell ref="I5:I6"/>
    <mergeCell ref="L5:L6"/>
    <mergeCell ref="E5:E6"/>
    <mergeCell ref="J5:J6"/>
    <mergeCell ref="K5:K6"/>
    <mergeCell ref="AI1:AK2"/>
    <mergeCell ref="A10:K10"/>
    <mergeCell ref="A2:B3"/>
    <mergeCell ref="C2:AH3"/>
    <mergeCell ref="AI3:AK3"/>
    <mergeCell ref="A4:D4"/>
    <mergeCell ref="L7:L9"/>
    <mergeCell ref="B7:B9"/>
    <mergeCell ref="C7:C9"/>
    <mergeCell ref="D7:D9"/>
    <mergeCell ref="E7:E9"/>
    <mergeCell ref="F5:F6"/>
    <mergeCell ref="AC5:AG5"/>
    <mergeCell ref="X10:X11"/>
    <mergeCell ref="AB10:AB11"/>
    <mergeCell ref="S11:T11"/>
    <mergeCell ref="O11:P11"/>
  </mergeCells>
  <conditionalFormatting sqref="AC7:AG9 AG10">
    <cfRule type="cellIs" dxfId="50" priority="4" operator="lessThan">
      <formula>0.6</formula>
    </cfRule>
    <cfRule type="cellIs" dxfId="49" priority="5" operator="between">
      <formula>60%</formula>
      <formula>79%</formula>
    </cfRule>
    <cfRule type="cellIs" dxfId="48" priority="6" operator="between">
      <formula>80%</formula>
      <formula>100%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dimension ref="A1:AM21"/>
  <sheetViews>
    <sheetView topLeftCell="A5" zoomScale="70" zoomScaleNormal="70" workbookViewId="0">
      <selection activeCell="K9" sqref="K9"/>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4.42578125" customWidth="1"/>
    <col min="7" max="7" width="30.5703125" customWidth="1"/>
    <col min="8" max="8" width="41" customWidth="1"/>
    <col min="9" max="9" width="16.5703125" customWidth="1"/>
    <col min="10" max="10" width="19.42578125" customWidth="1"/>
    <col min="11" max="11" width="25.7109375" style="324" customWidth="1"/>
    <col min="12" max="12" width="16.5703125" customWidth="1"/>
    <col min="13" max="13" width="19.42578125" customWidth="1"/>
    <col min="14" max="14" width="26.7109375" customWidth="1"/>
    <col min="15" max="15" width="31.7109375" customWidth="1"/>
    <col min="16" max="16" width="25.140625" customWidth="1"/>
    <col min="17" max="17" width="19.42578125" customWidth="1"/>
    <col min="18" max="18" width="26.7109375" customWidth="1"/>
    <col min="19" max="19" width="31.7109375" customWidth="1"/>
    <col min="20" max="20" width="25.140625" customWidth="1"/>
    <col min="21" max="21" width="26.42578125" style="47" customWidth="1"/>
    <col min="22" max="22" width="22.140625" customWidth="1"/>
    <col min="23" max="23" width="19.42578125" customWidth="1"/>
    <col min="24" max="24" width="28.85546875" customWidth="1"/>
    <col min="25" max="25" width="21.85546875" customWidth="1"/>
    <col min="26" max="26" width="43.28515625" customWidth="1"/>
    <col min="27" max="27" width="19.42578125" customWidth="1"/>
    <col min="28" max="28" width="28.85546875" customWidth="1"/>
    <col min="29" max="29" width="21.85546875" customWidth="1"/>
    <col min="30" max="30" width="19.42578125" customWidth="1"/>
    <col min="31" max="35" width="17.7109375" customWidth="1"/>
    <col min="36" max="39" width="26.5703125" customWidth="1"/>
  </cols>
  <sheetData>
    <row r="1" spans="1:39"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77"/>
      <c r="AL1" s="577"/>
      <c r="AM1" s="577"/>
    </row>
    <row r="2" spans="1:39"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77"/>
      <c r="AL2" s="577"/>
      <c r="AM2" s="577"/>
    </row>
    <row r="3" spans="1:39"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78" t="s">
        <v>718</v>
      </c>
      <c r="AL3" s="578"/>
      <c r="AM3" s="578"/>
    </row>
    <row r="4" spans="1:39" ht="15.75" thickBot="1" x14ac:dyDescent="0.3">
      <c r="A4" s="572" t="s">
        <v>193</v>
      </c>
      <c r="B4" s="572"/>
      <c r="C4" s="572"/>
      <c r="D4" s="572"/>
      <c r="E4" s="28"/>
      <c r="F4" s="36"/>
      <c r="G4" s="28"/>
      <c r="H4" s="28"/>
      <c r="I4" s="28"/>
      <c r="J4" s="28"/>
      <c r="K4" s="28"/>
      <c r="L4" s="28"/>
      <c r="M4" s="54"/>
      <c r="N4" s="28"/>
      <c r="O4" s="28"/>
      <c r="P4" s="28"/>
      <c r="Q4" s="54"/>
      <c r="R4" s="28"/>
      <c r="S4" s="28"/>
      <c r="T4" s="28"/>
      <c r="U4" s="58"/>
      <c r="V4" s="28"/>
      <c r="W4" s="54"/>
      <c r="X4" s="28"/>
      <c r="Y4" s="28"/>
      <c r="Z4" s="28"/>
      <c r="AA4" s="54"/>
      <c r="AB4" s="28"/>
      <c r="AC4" s="28"/>
      <c r="AD4" s="28"/>
      <c r="AE4" s="28"/>
      <c r="AF4" s="28"/>
      <c r="AG4" s="28"/>
      <c r="AH4" s="28"/>
      <c r="AI4" s="28"/>
      <c r="AJ4" s="28"/>
      <c r="AK4" s="28"/>
      <c r="AL4" s="28"/>
      <c r="AM4" s="28"/>
    </row>
    <row r="5" spans="1:39" ht="57" customHeight="1" x14ac:dyDescent="0.25">
      <c r="A5" s="583" t="s">
        <v>1</v>
      </c>
      <c r="B5" s="575" t="s">
        <v>3</v>
      </c>
      <c r="C5" s="575" t="s">
        <v>194</v>
      </c>
      <c r="D5" s="575" t="s">
        <v>195</v>
      </c>
      <c r="E5" s="575" t="s">
        <v>196</v>
      </c>
      <c r="F5" s="581" t="s">
        <v>781</v>
      </c>
      <c r="G5" s="575" t="s">
        <v>729</v>
      </c>
      <c r="H5" s="575" t="s">
        <v>227</v>
      </c>
      <c r="I5" s="575" t="s">
        <v>8</v>
      </c>
      <c r="J5" s="575" t="s">
        <v>481</v>
      </c>
      <c r="K5" s="575" t="s">
        <v>501</v>
      </c>
      <c r="L5" s="646" t="s">
        <v>9</v>
      </c>
      <c r="M5" s="177" t="s">
        <v>258</v>
      </c>
      <c r="N5" s="655" t="s">
        <v>414</v>
      </c>
      <c r="O5" s="573" t="s">
        <v>416</v>
      </c>
      <c r="P5" s="563" t="s">
        <v>776</v>
      </c>
      <c r="Q5" s="177" t="s">
        <v>258</v>
      </c>
      <c r="R5" s="655" t="s">
        <v>414</v>
      </c>
      <c r="S5" s="573" t="s">
        <v>416</v>
      </c>
      <c r="T5" s="563" t="s">
        <v>474</v>
      </c>
      <c r="U5" s="177" t="s">
        <v>318</v>
      </c>
      <c r="V5" s="655" t="s">
        <v>414</v>
      </c>
      <c r="W5" s="573" t="s">
        <v>416</v>
      </c>
      <c r="X5" s="563" t="s">
        <v>477</v>
      </c>
      <c r="Y5" s="177" t="s">
        <v>318</v>
      </c>
      <c r="Z5" s="655" t="s">
        <v>414</v>
      </c>
      <c r="AA5" s="573" t="s">
        <v>416</v>
      </c>
      <c r="AB5" s="563" t="s">
        <v>479</v>
      </c>
      <c r="AC5" s="626" t="s">
        <v>11</v>
      </c>
      <c r="AD5" s="627"/>
      <c r="AE5" s="627"/>
      <c r="AF5" s="627"/>
      <c r="AG5" s="628"/>
      <c r="AH5" s="569" t="s">
        <v>539</v>
      </c>
      <c r="AI5" s="570"/>
      <c r="AJ5" s="570"/>
      <c r="AK5" s="571"/>
    </row>
    <row r="6" spans="1:39" ht="57" customHeight="1" x14ac:dyDescent="0.25">
      <c r="A6" s="584"/>
      <c r="B6" s="514"/>
      <c r="C6" s="514"/>
      <c r="D6" s="514"/>
      <c r="E6" s="514"/>
      <c r="F6" s="582"/>
      <c r="G6" s="514"/>
      <c r="H6" s="514"/>
      <c r="I6" s="514"/>
      <c r="J6" s="514"/>
      <c r="K6" s="514"/>
      <c r="L6" s="647"/>
      <c r="M6" s="141" t="s">
        <v>775</v>
      </c>
      <c r="N6" s="656"/>
      <c r="O6" s="574"/>
      <c r="P6" s="564"/>
      <c r="Q6" s="141" t="s">
        <v>298</v>
      </c>
      <c r="R6" s="656"/>
      <c r="S6" s="574"/>
      <c r="T6" s="564"/>
      <c r="U6" s="141" t="s">
        <v>287</v>
      </c>
      <c r="V6" s="656"/>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39" ht="41.25" customHeight="1" x14ac:dyDescent="0.25">
      <c r="A7" s="697" t="s">
        <v>76</v>
      </c>
      <c r="B7" s="699" t="s">
        <v>311</v>
      </c>
      <c r="C7" s="699" t="s">
        <v>215</v>
      </c>
      <c r="D7" s="699" t="s">
        <v>85</v>
      </c>
      <c r="E7" s="699" t="s">
        <v>341</v>
      </c>
      <c r="F7" s="679">
        <v>0.8</v>
      </c>
      <c r="G7" s="136" t="s">
        <v>730</v>
      </c>
      <c r="H7" s="75" t="s">
        <v>731</v>
      </c>
      <c r="I7" s="55">
        <v>1</v>
      </c>
      <c r="J7" s="55" t="s">
        <v>482</v>
      </c>
      <c r="K7" s="75" t="s">
        <v>855</v>
      </c>
      <c r="L7" s="701" t="s">
        <v>318</v>
      </c>
      <c r="M7" s="142"/>
      <c r="N7" s="55"/>
      <c r="O7" s="55"/>
      <c r="P7" s="143" t="str">
        <f>+IFERROR(AVERAGE(M7:M7),"-")</f>
        <v>-</v>
      </c>
      <c r="Q7" s="142"/>
      <c r="R7" s="55"/>
      <c r="S7" s="55"/>
      <c r="T7" s="143" t="str">
        <f>+IFERROR(AVERAGE(Q7:Q7),"-")</f>
        <v>-</v>
      </c>
      <c r="U7" s="142"/>
      <c r="V7" s="55"/>
      <c r="W7" s="55"/>
      <c r="X7" s="143" t="str">
        <f>+IFERROR(AVERAGE(U7:U7),"-")</f>
        <v>-</v>
      </c>
      <c r="Y7" s="142"/>
      <c r="Z7" s="55"/>
      <c r="AA7" s="55"/>
      <c r="AB7" s="143" t="str">
        <f>+IFERROR(AVERAGE(Y7:Y7),"-")</f>
        <v>-</v>
      </c>
      <c r="AC7" s="25" t="str">
        <f>IFERROR((P7*100%)/I7,"-")</f>
        <v>-</v>
      </c>
      <c r="AD7" s="25" t="str">
        <f>IFERROR((T7*100%)/I7,"-")</f>
        <v>-</v>
      </c>
      <c r="AE7" s="25" t="str">
        <f>IFERROR((X7*100%)/1,"-")</f>
        <v>-</v>
      </c>
      <c r="AF7" s="25" t="str">
        <f>IFERROR((AB7*100%)/1,"-")</f>
        <v>-</v>
      </c>
      <c r="AG7" s="157" t="str">
        <f>IFERROR(AVERAGE(AC7:AF7),"-")</f>
        <v>-</v>
      </c>
      <c r="AH7" s="161"/>
      <c r="AI7" s="33"/>
      <c r="AJ7" s="34"/>
      <c r="AK7" s="162"/>
    </row>
    <row r="8" spans="1:39" ht="89.25" x14ac:dyDescent="0.25">
      <c r="A8" s="678"/>
      <c r="B8" s="677"/>
      <c r="C8" s="677"/>
      <c r="D8" s="677"/>
      <c r="E8" s="677"/>
      <c r="F8" s="680"/>
      <c r="G8" s="200" t="s">
        <v>755</v>
      </c>
      <c r="H8" s="75" t="s">
        <v>732</v>
      </c>
      <c r="I8" s="55">
        <v>0.6</v>
      </c>
      <c r="J8" s="55" t="s">
        <v>482</v>
      </c>
      <c r="K8" s="75" t="s">
        <v>750</v>
      </c>
      <c r="L8" s="702"/>
      <c r="M8" s="142"/>
      <c r="N8" s="55"/>
      <c r="O8" s="55"/>
      <c r="P8" s="143" t="str">
        <f>+IFERROR(AVERAGE(M8:M8),"-")</f>
        <v>-</v>
      </c>
      <c r="Q8" s="142"/>
      <c r="R8" s="55"/>
      <c r="S8" s="55"/>
      <c r="T8" s="143" t="str">
        <f>+IFERROR(AVERAGE(Q8:Q8),"-")</f>
        <v>-</v>
      </c>
      <c r="U8" s="142"/>
      <c r="V8" s="55"/>
      <c r="W8" s="55"/>
      <c r="X8" s="143" t="str">
        <f>+IFERROR(AVERAGE(U8:U8),"-")</f>
        <v>-</v>
      </c>
      <c r="Y8" s="142"/>
      <c r="Z8" s="440"/>
      <c r="AA8" s="55"/>
      <c r="AB8" s="143" t="str">
        <f>+IFERROR(AVERAGE(Y8:Y8),"-")</f>
        <v>-</v>
      </c>
      <c r="AC8" s="25" t="str">
        <f>IFERROR((P8*100%)/I8,"-")</f>
        <v>-</v>
      </c>
      <c r="AD8" s="25" t="str">
        <f>IFERROR((T8*100%)/I8,"-")</f>
        <v>-</v>
      </c>
      <c r="AE8" s="25" t="str">
        <f>IFERROR((X8*100%)/1,"-")</f>
        <v>-</v>
      </c>
      <c r="AF8" s="25" t="str">
        <f>IFERROR((AB8*100%)/1,"-")</f>
        <v>-</v>
      </c>
      <c r="AG8" s="157" t="str">
        <f>IFERROR(AVERAGE(AC8:AF8),"-")</f>
        <v>-</v>
      </c>
      <c r="AH8" s="161"/>
      <c r="AI8" s="33"/>
      <c r="AJ8" s="34"/>
      <c r="AK8" s="162"/>
    </row>
    <row r="9" spans="1:39" ht="89.25" x14ac:dyDescent="0.25">
      <c r="A9" s="678"/>
      <c r="B9" s="677"/>
      <c r="C9" s="677"/>
      <c r="D9" s="677"/>
      <c r="E9" s="677"/>
      <c r="F9" s="680"/>
      <c r="G9" s="136" t="s">
        <v>751</v>
      </c>
      <c r="H9" s="74" t="s">
        <v>752</v>
      </c>
      <c r="I9" s="55">
        <v>1</v>
      </c>
      <c r="J9" s="55" t="s">
        <v>482</v>
      </c>
      <c r="K9" s="75" t="s">
        <v>668</v>
      </c>
      <c r="L9" s="702"/>
      <c r="M9" s="142"/>
      <c r="N9" s="55"/>
      <c r="O9" s="55"/>
      <c r="P9" s="143" t="str">
        <f>+IFERROR(AVERAGE(M9:M9),"-")</f>
        <v>-</v>
      </c>
      <c r="Q9" s="142"/>
      <c r="R9" s="55"/>
      <c r="S9" s="55"/>
      <c r="T9" s="143" t="str">
        <f>+IFERROR(AVERAGE(Q9:Q9),"-")</f>
        <v>-</v>
      </c>
      <c r="U9" s="142"/>
      <c r="V9" s="55"/>
      <c r="W9" s="7"/>
      <c r="X9" s="143" t="str">
        <f>+IFERROR(AVERAGE(U9:U9),"-")</f>
        <v>-</v>
      </c>
      <c r="Y9" s="142"/>
      <c r="Z9" s="7"/>
      <c r="AA9" s="7"/>
      <c r="AB9" s="143" t="str">
        <f>+IFERROR(AVERAGE(Y9:Y9),"-")</f>
        <v>-</v>
      </c>
      <c r="AC9" s="25" t="str">
        <f>IFERROR((P9*100%)/I9,"-")</f>
        <v>-</v>
      </c>
      <c r="AD9" s="25" t="str">
        <f>IFERROR((T9*100%)/I9,"-")</f>
        <v>-</v>
      </c>
      <c r="AE9" s="25" t="str">
        <f>IFERROR((X9*100%)/1,"-")</f>
        <v>-</v>
      </c>
      <c r="AF9" s="25" t="str">
        <f>IFERROR((AB9*100%)/1,"-")</f>
        <v>-</v>
      </c>
      <c r="AG9" s="157" t="str">
        <f t="shared" ref="AG9:AG10" si="0">IFERROR(AVERAGE(AC9:AF9),"-")</f>
        <v>-</v>
      </c>
      <c r="AH9" s="161"/>
      <c r="AI9" s="33"/>
      <c r="AJ9" s="34"/>
      <c r="AK9" s="162"/>
    </row>
    <row r="10" spans="1:39" ht="89.25" x14ac:dyDescent="0.25">
      <c r="A10" s="698"/>
      <c r="B10" s="700"/>
      <c r="C10" s="700"/>
      <c r="D10" s="700"/>
      <c r="E10" s="700"/>
      <c r="F10" s="681"/>
      <c r="G10" s="136" t="s">
        <v>753</v>
      </c>
      <c r="H10" s="74" t="s">
        <v>733</v>
      </c>
      <c r="I10" s="55">
        <v>1</v>
      </c>
      <c r="J10" s="55" t="s">
        <v>482</v>
      </c>
      <c r="K10" s="75" t="s">
        <v>668</v>
      </c>
      <c r="L10" s="703"/>
      <c r="M10" s="142"/>
      <c r="N10" s="53"/>
      <c r="O10" s="55"/>
      <c r="P10" s="143" t="str">
        <f>+IFERROR(AVERAGE(M10:M10),"-")</f>
        <v>-</v>
      </c>
      <c r="Q10" s="142"/>
      <c r="R10" s="53"/>
      <c r="S10" s="55"/>
      <c r="T10" s="143" t="str">
        <f>+IFERROR(AVERAGE(Q10:Q10),"-")</f>
        <v>-</v>
      </c>
      <c r="U10" s="142"/>
      <c r="V10" s="53"/>
      <c r="W10" s="7"/>
      <c r="X10" s="143" t="str">
        <f>+IFERROR(AVERAGE(U10:U10),"-")</f>
        <v>-</v>
      </c>
      <c r="Y10" s="142"/>
      <c r="Z10" s="53"/>
      <c r="AA10" s="7"/>
      <c r="AB10" s="143" t="str">
        <f>+IFERROR(AVERAGE(Y10:Y10),"-")</f>
        <v>-</v>
      </c>
      <c r="AC10" s="25" t="str">
        <f>IFERROR((P10*100%)/I10,"-")</f>
        <v>-</v>
      </c>
      <c r="AD10" s="25" t="str">
        <f>IFERROR((T10*100%)/I10,"-")</f>
        <v>-</v>
      </c>
      <c r="AE10" s="25" t="str">
        <f>IFERROR((X10*100%)/1,"-")</f>
        <v>-</v>
      </c>
      <c r="AF10" s="25" t="str">
        <f>IFERROR((AB10*100%)/1,"-")</f>
        <v>-</v>
      </c>
      <c r="AG10" s="157" t="str">
        <f t="shared" si="0"/>
        <v>-</v>
      </c>
      <c r="AH10" s="161"/>
      <c r="AI10" s="33"/>
      <c r="AJ10" s="34"/>
      <c r="AK10" s="162"/>
    </row>
    <row r="11" spans="1:39" ht="26.25" thickBot="1" x14ac:dyDescent="0.3">
      <c r="A11" s="601" t="s">
        <v>293</v>
      </c>
      <c r="B11" s="602"/>
      <c r="C11" s="602"/>
      <c r="D11" s="602"/>
      <c r="E11" s="602"/>
      <c r="F11" s="602"/>
      <c r="G11" s="602"/>
      <c r="H11" s="602"/>
      <c r="I11" s="602"/>
      <c r="J11" s="602"/>
      <c r="K11" s="603"/>
      <c r="L11" s="425" t="s">
        <v>760</v>
      </c>
      <c r="M11" s="305" t="str">
        <f>IFERROR(AVERAGE(M7:M10),"-")</f>
        <v>-</v>
      </c>
      <c r="N11" s="225"/>
      <c r="O11" s="219"/>
      <c r="P11" s="619" t="str">
        <f>IFERROR(AVERAGE(P7:P10),"-")</f>
        <v>-</v>
      </c>
      <c r="Q11" s="305" t="str">
        <f>IFERROR(AVERAGE(Q7:Q10),"-")</f>
        <v>-</v>
      </c>
      <c r="R11" s="225"/>
      <c r="S11" s="219"/>
      <c r="T11" s="619" t="str">
        <f>IFERROR(AVERAGE(T7:T10),"-")</f>
        <v>-</v>
      </c>
      <c r="U11" s="170" t="str">
        <f>IFERROR(AVERAGE(U7:U10),"-")</f>
        <v>-</v>
      </c>
      <c r="V11" s="225"/>
      <c r="W11" s="219"/>
      <c r="X11" s="619" t="str">
        <f>IFERROR(AVERAGE(X7:X10),"-")</f>
        <v>-</v>
      </c>
      <c r="Y11" s="170" t="str">
        <f>IFERROR(AVERAGE(Y7:Y10),"-")</f>
        <v>-</v>
      </c>
      <c r="Z11" s="225"/>
      <c r="AA11" s="219"/>
      <c r="AB11" s="619" t="str">
        <f t="shared" ref="AB11:AG11" si="1">IFERROR(AVERAGE(AB7:AB10),"-")</f>
        <v>-</v>
      </c>
      <c r="AC11" s="170" t="str">
        <f t="shared" si="1"/>
        <v>-</v>
      </c>
      <c r="AD11" s="171" t="str">
        <f t="shared" si="1"/>
        <v>-</v>
      </c>
      <c r="AE11" s="171" t="str">
        <f t="shared" si="1"/>
        <v>-</v>
      </c>
      <c r="AF11" s="56" t="str">
        <f t="shared" si="1"/>
        <v>-</v>
      </c>
      <c r="AG11" s="695" t="str">
        <f t="shared" si="1"/>
        <v>-</v>
      </c>
      <c r="AH11" s="165"/>
      <c r="AI11" s="166"/>
      <c r="AJ11" s="167"/>
      <c r="AK11" s="168"/>
    </row>
    <row r="12" spans="1:39" ht="27" thickBot="1" x14ac:dyDescent="0.3">
      <c r="A12" s="28"/>
      <c r="B12" s="28"/>
      <c r="C12" s="28"/>
      <c r="D12" s="28"/>
      <c r="E12" s="28"/>
      <c r="F12" s="36"/>
      <c r="G12" s="28"/>
      <c r="H12" s="28"/>
      <c r="I12" s="28"/>
      <c r="J12" s="28"/>
      <c r="K12" s="28"/>
      <c r="L12" s="28"/>
      <c r="M12" s="197"/>
      <c r="N12" s="180"/>
      <c r="O12" s="187" t="s">
        <v>795</v>
      </c>
      <c r="P12" s="620"/>
      <c r="Q12" s="197"/>
      <c r="R12" s="180"/>
      <c r="S12" s="187" t="s">
        <v>295</v>
      </c>
      <c r="T12" s="620"/>
      <c r="U12" s="195"/>
      <c r="V12" s="180"/>
      <c r="W12" s="187" t="s">
        <v>495</v>
      </c>
      <c r="X12" s="620"/>
      <c r="Y12" s="195"/>
      <c r="Z12" s="180"/>
      <c r="AA12" s="186" t="s">
        <v>297</v>
      </c>
      <c r="AB12" s="620"/>
      <c r="AC12" s="172"/>
      <c r="AD12" s="173"/>
      <c r="AE12" s="174"/>
      <c r="AF12" s="158" t="s">
        <v>294</v>
      </c>
      <c r="AG12" s="696"/>
      <c r="AH12" s="28"/>
      <c r="AI12" s="28"/>
      <c r="AJ12" s="28"/>
      <c r="AK12" s="28"/>
    </row>
    <row r="15" spans="1:39" ht="45" x14ac:dyDescent="0.25">
      <c r="G15" s="621" t="s">
        <v>561</v>
      </c>
      <c r="H15" s="621"/>
      <c r="I15" s="621"/>
      <c r="J15" s="621"/>
      <c r="K15" s="255" t="s">
        <v>558</v>
      </c>
      <c r="L15" s="273" t="s">
        <v>565</v>
      </c>
      <c r="M15" s="256" t="s">
        <v>563</v>
      </c>
      <c r="N15" s="256" t="s">
        <v>564</v>
      </c>
      <c r="O15" s="257" t="s">
        <v>562</v>
      </c>
      <c r="Q15" s="256" t="s">
        <v>563</v>
      </c>
      <c r="R15" s="256" t="s">
        <v>797</v>
      </c>
      <c r="S15" s="256" t="s">
        <v>564</v>
      </c>
      <c r="T15" s="257" t="s">
        <v>562</v>
      </c>
      <c r="U15"/>
      <c r="V15" s="256" t="s">
        <v>563</v>
      </c>
      <c r="W15" s="256" t="s">
        <v>797</v>
      </c>
      <c r="X15" s="256" t="s">
        <v>734</v>
      </c>
      <c r="Y15" s="256" t="s">
        <v>564</v>
      </c>
      <c r="Z15" s="257" t="s">
        <v>562</v>
      </c>
      <c r="AA15" s="363"/>
      <c r="AB15" s="256" t="s">
        <v>563</v>
      </c>
      <c r="AC15" s="256" t="s">
        <v>735</v>
      </c>
      <c r="AD15" s="256" t="s">
        <v>734</v>
      </c>
      <c r="AE15" s="256" t="s">
        <v>797</v>
      </c>
      <c r="AF15" s="256" t="s">
        <v>564</v>
      </c>
      <c r="AG15" s="257" t="s">
        <v>562</v>
      </c>
      <c r="AH15" s="363"/>
    </row>
    <row r="16" spans="1:39" x14ac:dyDescent="0.25">
      <c r="G16" s="688" t="str">
        <f>+G7</f>
        <v>Línea base del programa de prevención de daño antijurídico HUSRT</v>
      </c>
      <c r="H16" s="689"/>
      <c r="I16" s="689"/>
      <c r="J16" s="690"/>
      <c r="K16" s="286">
        <f>+I7</f>
        <v>1</v>
      </c>
      <c r="L16" s="623">
        <f>+F7</f>
        <v>0.8</v>
      </c>
      <c r="M16" s="286" t="str">
        <f>+P7</f>
        <v>-</v>
      </c>
      <c r="N16" s="286" t="str">
        <f>IFERROR((M16*100%)/K16,"-")</f>
        <v>-</v>
      </c>
      <c r="O16" s="588" t="e">
        <f>+M20</f>
        <v>#DIV/0!</v>
      </c>
      <c r="Q16" s="286" t="str">
        <f>+T7</f>
        <v>-</v>
      </c>
      <c r="R16" s="286" t="str">
        <f>+M16</f>
        <v>-</v>
      </c>
      <c r="S16" s="286" t="str">
        <f>IFERROR((AVERAGE(Q16:R16)*100%)/K16,"-")</f>
        <v>-</v>
      </c>
      <c r="T16" s="588" t="e">
        <f>+Q20</f>
        <v>#DIV/0!</v>
      </c>
      <c r="U16"/>
      <c r="V16" s="286" t="str">
        <f>+X7</f>
        <v>-</v>
      </c>
      <c r="W16" s="286" t="str">
        <f>+M16</f>
        <v>-</v>
      </c>
      <c r="X16" s="286" t="str">
        <f>+Q16</f>
        <v>-</v>
      </c>
      <c r="Y16" s="286" t="str">
        <f>IFERROR(IF(AVERAGE(V16:X16)&gt;=1,1,(AVERAGE(V16:X16)*100%)/1),"-")</f>
        <v>-</v>
      </c>
      <c r="Z16" s="259" t="str">
        <f>IFERROR(+IF(Y16=100%,L16,(+Y16*L16)),"-")</f>
        <v>-</v>
      </c>
      <c r="AA16" s="364"/>
      <c r="AB16" s="286" t="str">
        <f>+AB7</f>
        <v>-</v>
      </c>
      <c r="AC16" s="286" t="str">
        <f>+V16</f>
        <v>-</v>
      </c>
      <c r="AD16" s="286" t="str">
        <f t="shared" ref="AD16:AD19" si="2">+X16</f>
        <v>-</v>
      </c>
      <c r="AE16" s="286" t="str">
        <f>+M16</f>
        <v>-</v>
      </c>
      <c r="AF16" s="286" t="str">
        <f>IFERROR(IF(AVERAGE(AB16:AE16)&gt;=1,1,(AVERAGE(AB16:AE16)*100%)/1),"-")</f>
        <v>-</v>
      </c>
      <c r="AG16" s="692" t="e">
        <f>+AVERAGE(AF16:AF19)</f>
        <v>#DIV/0!</v>
      </c>
      <c r="AH16" s="691"/>
    </row>
    <row r="17" spans="7:34" x14ac:dyDescent="0.25">
      <c r="G17" s="688" t="str">
        <f>+G8</f>
        <v>Cumplimiento actividades del programa de gestión del riesgo y prevención de daño antijurídico contenidas en el manual de daño antijurídico</v>
      </c>
      <c r="H17" s="689"/>
      <c r="I17" s="689"/>
      <c r="J17" s="690"/>
      <c r="K17" s="286">
        <f>+I8</f>
        <v>0.6</v>
      </c>
      <c r="L17" s="623"/>
      <c r="M17" s="286" t="str">
        <f>+P8</f>
        <v>-</v>
      </c>
      <c r="N17" s="286" t="str">
        <f t="shared" ref="N17:N19" si="3">IFERROR((M17*100%)/K17,"-")</f>
        <v>-</v>
      </c>
      <c r="O17" s="588"/>
      <c r="Q17" s="286" t="str">
        <f>+T8</f>
        <v>-</v>
      </c>
      <c r="R17" s="286" t="str">
        <f>+M17</f>
        <v>-</v>
      </c>
      <c r="S17" s="286" t="str">
        <f>IFERROR((AVERAGE(Q17:R17)*100%)/K17,"-")</f>
        <v>-</v>
      </c>
      <c r="T17" s="588"/>
      <c r="U17"/>
      <c r="V17" s="286" t="str">
        <f>+X8</f>
        <v>-</v>
      </c>
      <c r="W17" s="286" t="str">
        <f>+M17</f>
        <v>-</v>
      </c>
      <c r="X17" s="286" t="str">
        <f>+Q17</f>
        <v>-</v>
      </c>
      <c r="Y17" s="286" t="str">
        <f>IFERROR(IF(AVERAGE(V17:X17)&gt;=1,1,(AVERAGE(V17:X17)*100%)/1),"-")</f>
        <v>-</v>
      </c>
      <c r="Z17" s="259" t="str">
        <f>IFERROR(+IF(Y17=100%,L17,(+Y17*L17)),"-")</f>
        <v>-</v>
      </c>
      <c r="AA17" s="364"/>
      <c r="AB17" s="286" t="str">
        <f>+AB8</f>
        <v>-</v>
      </c>
      <c r="AC17" s="286" t="str">
        <f>+V17</f>
        <v>-</v>
      </c>
      <c r="AD17" s="286" t="str">
        <f t="shared" si="2"/>
        <v>-</v>
      </c>
      <c r="AE17" s="286" t="str">
        <f>+M17</f>
        <v>-</v>
      </c>
      <c r="AF17" s="286" t="str">
        <f>IFERROR(IF(AVERAGE(AB17:AE17)&gt;=1,1,(AVERAGE(AB17:AE17)*100%)/1),"-")</f>
        <v>-</v>
      </c>
      <c r="AG17" s="693"/>
      <c r="AH17" s="691"/>
    </row>
    <row r="18" spans="7:34" x14ac:dyDescent="0.25">
      <c r="G18" s="688" t="str">
        <f>+G9</f>
        <v xml:space="preserve">Medición del mpacto de adherencia a guías, en relación con los servicios mayormente involucrados, conforme a la variación de la línea base del programa </v>
      </c>
      <c r="H18" s="689"/>
      <c r="I18" s="689"/>
      <c r="J18" s="690"/>
      <c r="K18" s="286">
        <f>+I9</f>
        <v>1</v>
      </c>
      <c r="L18" s="623"/>
      <c r="M18" s="286" t="str">
        <f>+P9</f>
        <v>-</v>
      </c>
      <c r="N18" s="286" t="str">
        <f t="shared" si="3"/>
        <v>-</v>
      </c>
      <c r="O18" s="588"/>
      <c r="Q18" s="286" t="str">
        <f>+T9</f>
        <v>-</v>
      </c>
      <c r="R18" s="286" t="str">
        <f>+M18</f>
        <v>-</v>
      </c>
      <c r="S18" s="286" t="str">
        <f>IFERROR((AVERAGE(Q18:R18)*100%)/K18,"-")</f>
        <v>-</v>
      </c>
      <c r="T18" s="588"/>
      <c r="U18"/>
      <c r="V18" s="286" t="str">
        <f>+X9</f>
        <v>-</v>
      </c>
      <c r="W18" s="286" t="str">
        <f>+M18</f>
        <v>-</v>
      </c>
      <c r="X18" s="286" t="str">
        <f>+Q18</f>
        <v>-</v>
      </c>
      <c r="Y18" s="286" t="str">
        <f>IFERROR(IF(AVERAGE(V18:X18)&gt;=1,1,(AVERAGE(V18:X18)*100%)/1),"-")</f>
        <v>-</v>
      </c>
      <c r="Z18" s="259" t="str">
        <f>IFERROR(+IF(Y18=100%,L18,(+Y18*L18)),"-")</f>
        <v>-</v>
      </c>
      <c r="AA18" s="364"/>
      <c r="AB18" s="286" t="str">
        <f>+AB9</f>
        <v>-</v>
      </c>
      <c r="AC18" s="286" t="str">
        <f>+V18</f>
        <v>-</v>
      </c>
      <c r="AD18" s="286" t="str">
        <f t="shared" si="2"/>
        <v>-</v>
      </c>
      <c r="AE18" s="286" t="str">
        <f>+M18</f>
        <v>-</v>
      </c>
      <c r="AF18" s="286" t="str">
        <f>IFERROR(IF(AVERAGE(AB18:AE18)&gt;=1,1,(AVERAGE(AB18:AE18)*100%)/1),"-")</f>
        <v>-</v>
      </c>
      <c r="AG18" s="693"/>
      <c r="AH18" s="691"/>
    </row>
    <row r="19" spans="7:34" x14ac:dyDescent="0.25">
      <c r="G19" s="688" t="str">
        <f>+G10</f>
        <v xml:space="preserve">Medición del impacto de la gestión de eventos adversos, en relación con los servicios mayormente involucrados, conforme a la variación de línea base del programa </v>
      </c>
      <c r="H19" s="689"/>
      <c r="I19" s="689"/>
      <c r="J19" s="690"/>
      <c r="K19" s="286">
        <f>+I10</f>
        <v>1</v>
      </c>
      <c r="L19" s="623"/>
      <c r="M19" s="286" t="str">
        <f>+P10</f>
        <v>-</v>
      </c>
      <c r="N19" s="286" t="str">
        <f t="shared" si="3"/>
        <v>-</v>
      </c>
      <c r="O19" s="588"/>
      <c r="Q19" s="286" t="str">
        <f>+T10</f>
        <v>-</v>
      </c>
      <c r="R19" s="286" t="str">
        <f>+M19</f>
        <v>-</v>
      </c>
      <c r="S19" s="286" t="str">
        <f>IFERROR((AVERAGE(Q19:R19)*100%)/K19,"-")</f>
        <v>-</v>
      </c>
      <c r="T19" s="588"/>
      <c r="U19"/>
      <c r="V19" s="286" t="str">
        <f>+X10</f>
        <v>-</v>
      </c>
      <c r="W19" s="286" t="str">
        <f>+M19</f>
        <v>-</v>
      </c>
      <c r="X19" s="286" t="str">
        <f>+Q19</f>
        <v>-</v>
      </c>
      <c r="Y19" s="286" t="str">
        <f>IFERROR(IF(AVERAGE(V19:X19)&gt;=1,1,(AVERAGE(V19:X19)*100%)/1),"-")</f>
        <v>-</v>
      </c>
      <c r="Z19" s="259" t="str">
        <f>IFERROR(+IF(Y19=100%,L19,(+Y19*L19)),"-")</f>
        <v>-</v>
      </c>
      <c r="AA19" s="364"/>
      <c r="AB19" s="286" t="str">
        <f>+AB10</f>
        <v>-</v>
      </c>
      <c r="AC19" s="286" t="str">
        <f>+V19</f>
        <v>-</v>
      </c>
      <c r="AD19" s="286" t="str">
        <f t="shared" si="2"/>
        <v>-</v>
      </c>
      <c r="AE19" s="286" t="str">
        <f>+M19</f>
        <v>-</v>
      </c>
      <c r="AF19" s="286" t="str">
        <f>IFERROR(IF(AVERAGE(AB19:AE19)&gt;=1,1,(AVERAGE(AB19:AE19)*100%)/1),"-")</f>
        <v>-</v>
      </c>
      <c r="AG19" s="694"/>
      <c r="AH19" s="691"/>
    </row>
    <row r="20" spans="7:34" x14ac:dyDescent="0.25">
      <c r="J20" s="324"/>
      <c r="K20"/>
      <c r="M20" s="258" t="e">
        <f>+AVERAGE(M16:M19)</f>
        <v>#DIV/0!</v>
      </c>
      <c r="Q20" s="258" t="e">
        <f>+AVERAGE(Q16:Q19)</f>
        <v>#DIV/0!</v>
      </c>
      <c r="R20" s="373"/>
      <c r="U20"/>
      <c r="V20" s="47"/>
      <c r="W20" s="47"/>
    </row>
    <row r="21" spans="7:34" x14ac:dyDescent="0.25">
      <c r="U21"/>
      <c r="V21" s="47"/>
    </row>
  </sheetData>
  <mergeCells count="56">
    <mergeCell ref="A1:B1"/>
    <mergeCell ref="C1:AJ1"/>
    <mergeCell ref="AB5:AB6"/>
    <mergeCell ref="AC5:AG5"/>
    <mergeCell ref="AH5:AK5"/>
    <mergeCell ref="Z5:Z6"/>
    <mergeCell ref="AA5:AA6"/>
    <mergeCell ref="AK1:AM2"/>
    <mergeCell ref="A2:B3"/>
    <mergeCell ref="C2:AJ3"/>
    <mergeCell ref="AK3:AM3"/>
    <mergeCell ref="H5:H6"/>
    <mergeCell ref="E5:E6"/>
    <mergeCell ref="J5:J6"/>
    <mergeCell ref="R5:R6"/>
    <mergeCell ref="A4:D4"/>
    <mergeCell ref="A5:A6"/>
    <mergeCell ref="B5:B6"/>
    <mergeCell ref="C5:C6"/>
    <mergeCell ref="D5:D6"/>
    <mergeCell ref="X5:X6"/>
    <mergeCell ref="F5:F6"/>
    <mergeCell ref="G5:G6"/>
    <mergeCell ref="I5:I6"/>
    <mergeCell ref="W5:W6"/>
    <mergeCell ref="V5:V6"/>
    <mergeCell ref="T5:T6"/>
    <mergeCell ref="L5:L6"/>
    <mergeCell ref="K5:K6"/>
    <mergeCell ref="S5:S6"/>
    <mergeCell ref="N5:N6"/>
    <mergeCell ref="O5:O6"/>
    <mergeCell ref="T11:T12"/>
    <mergeCell ref="X11:X12"/>
    <mergeCell ref="AB11:AB12"/>
    <mergeCell ref="AG11:AG12"/>
    <mergeCell ref="A7:A10"/>
    <mergeCell ref="B7:B10"/>
    <mergeCell ref="C7:C10"/>
    <mergeCell ref="D7:D10"/>
    <mergeCell ref="E7:E10"/>
    <mergeCell ref="F7:F10"/>
    <mergeCell ref="L7:L10"/>
    <mergeCell ref="A11:K11"/>
    <mergeCell ref="T16:T19"/>
    <mergeCell ref="AH16:AH19"/>
    <mergeCell ref="G15:J15"/>
    <mergeCell ref="G16:J16"/>
    <mergeCell ref="G17:J17"/>
    <mergeCell ref="G18:J18"/>
    <mergeCell ref="AG16:AG19"/>
    <mergeCell ref="P5:P6"/>
    <mergeCell ref="P11:P12"/>
    <mergeCell ref="O16:O19"/>
    <mergeCell ref="G19:J19"/>
    <mergeCell ref="L16:L19"/>
  </mergeCells>
  <conditionalFormatting sqref="AC7:AG10 AG11">
    <cfRule type="cellIs" dxfId="47" priority="1" operator="lessThan">
      <formula>0.6</formula>
    </cfRule>
    <cfRule type="cellIs" dxfId="46" priority="2" operator="between">
      <formula>60%</formula>
      <formula>79%</formula>
    </cfRule>
    <cfRule type="cellIs" dxfId="45" priority="3" operator="between">
      <formula>80%</formula>
      <formula>100%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A1:CR9"/>
  <sheetViews>
    <sheetView zoomScale="70" zoomScaleNormal="70" workbookViewId="0">
      <selection activeCell="AF4" sqref="AF1:CJ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4" customWidth="1"/>
    <col min="8" max="8" width="25.28515625" customWidth="1"/>
    <col min="9" max="11" width="14.42578125" customWidth="1"/>
    <col min="12" max="12" width="16.7109375" customWidth="1"/>
    <col min="13" max="29" width="19.42578125" customWidth="1"/>
    <col min="30" max="30" width="29.140625" customWidth="1"/>
    <col min="31" max="31" width="34.42578125" customWidth="1"/>
    <col min="32" max="48" width="19.42578125" customWidth="1"/>
    <col min="49" max="49" width="29.140625" customWidth="1"/>
    <col min="50" max="50" width="34.42578125" customWidth="1"/>
    <col min="51" max="65" width="19.42578125" customWidth="1"/>
    <col min="66" max="66" width="23.5703125" customWidth="1"/>
    <col min="67" max="84" width="19.42578125" customWidth="1"/>
    <col min="85" max="85" width="23.5703125" customWidth="1"/>
    <col min="86" max="87" width="19.42578125" customWidth="1"/>
    <col min="88" max="92" width="17.7109375" customWidth="1"/>
    <col min="93" max="96" width="26.5703125" customWidth="1"/>
  </cols>
  <sheetData>
    <row r="1" spans="1:96"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77"/>
      <c r="CQ1" s="577"/>
      <c r="CR1" s="577"/>
    </row>
    <row r="2" spans="1:96"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c r="AW2" s="568"/>
      <c r="AX2" s="568"/>
      <c r="AY2" s="568"/>
      <c r="AZ2" s="568"/>
      <c r="BA2" s="568"/>
      <c r="BB2" s="568"/>
      <c r="BC2" s="568"/>
      <c r="BD2" s="568"/>
      <c r="BE2" s="568"/>
      <c r="BF2" s="568"/>
      <c r="BG2" s="568"/>
      <c r="BH2" s="568"/>
      <c r="BI2" s="568"/>
      <c r="BJ2" s="568"/>
      <c r="BK2" s="568"/>
      <c r="BL2" s="568"/>
      <c r="BM2" s="568"/>
      <c r="BN2" s="568"/>
      <c r="BO2" s="568"/>
      <c r="BP2" s="568"/>
      <c r="BQ2" s="568"/>
      <c r="BR2" s="568"/>
      <c r="BS2" s="568"/>
      <c r="BT2" s="568"/>
      <c r="BU2" s="568"/>
      <c r="BV2" s="568"/>
      <c r="BW2" s="568"/>
      <c r="BX2" s="568"/>
      <c r="BY2" s="568"/>
      <c r="BZ2" s="568"/>
      <c r="CA2" s="568"/>
      <c r="CB2" s="568"/>
      <c r="CC2" s="568"/>
      <c r="CD2" s="568"/>
      <c r="CE2" s="568"/>
      <c r="CF2" s="568"/>
      <c r="CG2" s="568"/>
      <c r="CH2" s="568"/>
      <c r="CI2" s="568"/>
      <c r="CJ2" s="568"/>
      <c r="CK2" s="568"/>
      <c r="CL2" s="568"/>
      <c r="CM2" s="568"/>
      <c r="CN2" s="568"/>
      <c r="CO2" s="568"/>
      <c r="CP2" s="577"/>
      <c r="CQ2" s="577"/>
      <c r="CR2" s="577"/>
    </row>
    <row r="3" spans="1:96"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78" t="s">
        <v>718</v>
      </c>
      <c r="CQ3" s="578"/>
      <c r="CR3" s="578"/>
    </row>
    <row r="4" spans="1:96" ht="15.75" thickBot="1" x14ac:dyDescent="0.3">
      <c r="A4" s="572" t="s">
        <v>193</v>
      </c>
      <c r="B4" s="572"/>
      <c r="C4" s="572"/>
      <c r="D4" s="572"/>
      <c r="E4" s="28"/>
      <c r="F4" s="36"/>
      <c r="G4" s="28"/>
      <c r="H4" s="28"/>
      <c r="I4" s="28"/>
      <c r="J4" s="28"/>
      <c r="K4" s="28"/>
      <c r="L4" s="28"/>
      <c r="M4" s="54"/>
      <c r="N4" s="28"/>
      <c r="O4" s="28"/>
      <c r="P4" s="28"/>
      <c r="Q4" s="28"/>
      <c r="R4" s="28"/>
      <c r="S4" s="28"/>
      <c r="T4" s="28"/>
      <c r="U4" s="28"/>
      <c r="V4" s="28"/>
      <c r="W4" s="28"/>
      <c r="X4" s="28"/>
      <c r="Y4" s="28"/>
      <c r="Z4" s="28"/>
      <c r="AA4" s="28"/>
      <c r="AB4" s="28"/>
      <c r="AC4" s="28"/>
      <c r="AD4" s="28"/>
      <c r="AE4" s="28"/>
      <c r="AF4" s="28"/>
      <c r="AG4" s="54"/>
      <c r="AH4" s="28"/>
      <c r="AI4" s="28"/>
      <c r="AJ4" s="28"/>
      <c r="AK4" s="28"/>
      <c r="AL4" s="28"/>
      <c r="AM4" s="28"/>
      <c r="AN4" s="28"/>
      <c r="AO4" s="28"/>
      <c r="AP4" s="28"/>
      <c r="AQ4" s="28"/>
      <c r="AR4" s="28"/>
      <c r="AS4" s="28"/>
      <c r="AT4" s="28"/>
      <c r="AU4" s="28"/>
      <c r="AV4" s="28"/>
      <c r="AW4" s="28"/>
      <c r="AX4" s="28"/>
      <c r="AY4" s="28"/>
      <c r="AZ4" s="54"/>
      <c r="BA4" s="28"/>
      <c r="BB4" s="28"/>
      <c r="BC4" s="28"/>
      <c r="BD4" s="28"/>
      <c r="BE4" s="28"/>
      <c r="BF4" s="28"/>
      <c r="BG4" s="28"/>
      <c r="BH4" s="28"/>
      <c r="BI4" s="28"/>
      <c r="BJ4" s="28"/>
      <c r="BK4" s="28"/>
      <c r="BL4" s="28"/>
      <c r="BM4" s="28"/>
      <c r="BN4" s="28"/>
      <c r="BO4" s="28"/>
      <c r="BP4" s="28"/>
      <c r="BQ4" s="54"/>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row>
    <row r="5" spans="1:96" ht="57" customHeight="1" x14ac:dyDescent="0.25">
      <c r="A5" s="583" t="s">
        <v>1</v>
      </c>
      <c r="B5" s="575" t="s">
        <v>3</v>
      </c>
      <c r="C5" s="575" t="s">
        <v>194</v>
      </c>
      <c r="D5" s="575" t="s">
        <v>195</v>
      </c>
      <c r="E5" s="575" t="s">
        <v>196</v>
      </c>
      <c r="F5" s="581" t="s">
        <v>781</v>
      </c>
      <c r="G5" s="575" t="s">
        <v>228</v>
      </c>
      <c r="H5" s="575" t="s">
        <v>227</v>
      </c>
      <c r="I5" s="575" t="s">
        <v>8</v>
      </c>
      <c r="J5" s="575" t="s">
        <v>481</v>
      </c>
      <c r="K5" s="575" t="s">
        <v>536</v>
      </c>
      <c r="L5" s="579" t="s">
        <v>9</v>
      </c>
      <c r="M5" s="328" t="s">
        <v>654</v>
      </c>
      <c r="N5" s="325" t="s">
        <v>655</v>
      </c>
      <c r="O5" s="325" t="s">
        <v>656</v>
      </c>
      <c r="P5" s="325" t="s">
        <v>657</v>
      </c>
      <c r="Q5" s="325" t="s">
        <v>658</v>
      </c>
      <c r="R5" s="325" t="s">
        <v>659</v>
      </c>
      <c r="S5" s="325" t="s">
        <v>660</v>
      </c>
      <c r="T5" s="325" t="s">
        <v>661</v>
      </c>
      <c r="U5" s="325" t="s">
        <v>662</v>
      </c>
      <c r="V5" s="325" t="s">
        <v>663</v>
      </c>
      <c r="W5" s="325" t="s">
        <v>694</v>
      </c>
      <c r="X5" s="325" t="s">
        <v>756</v>
      </c>
      <c r="Y5" s="325" t="s">
        <v>255</v>
      </c>
      <c r="Z5" s="325" t="s">
        <v>757</v>
      </c>
      <c r="AA5" s="325" t="s">
        <v>758</v>
      </c>
      <c r="AB5" s="325" t="s">
        <v>664</v>
      </c>
      <c r="AC5" s="325" t="s">
        <v>846</v>
      </c>
      <c r="AD5" s="655" t="s">
        <v>414</v>
      </c>
      <c r="AE5" s="573" t="s">
        <v>416</v>
      </c>
      <c r="AF5" s="563" t="s">
        <v>776</v>
      </c>
      <c r="AG5" s="328" t="s">
        <v>654</v>
      </c>
      <c r="AH5" s="325" t="s">
        <v>655</v>
      </c>
      <c r="AI5" s="325" t="s">
        <v>656</v>
      </c>
      <c r="AJ5" s="325" t="s">
        <v>657</v>
      </c>
      <c r="AK5" s="325" t="s">
        <v>658</v>
      </c>
      <c r="AL5" s="325" t="s">
        <v>659</v>
      </c>
      <c r="AM5" s="325" t="s">
        <v>660</v>
      </c>
      <c r="AN5" s="325" t="s">
        <v>661</v>
      </c>
      <c r="AO5" s="325" t="s">
        <v>662</v>
      </c>
      <c r="AP5" s="325" t="s">
        <v>663</v>
      </c>
      <c r="AQ5" s="325" t="s">
        <v>694</v>
      </c>
      <c r="AR5" s="325" t="s">
        <v>756</v>
      </c>
      <c r="AS5" s="325" t="s">
        <v>255</v>
      </c>
      <c r="AT5" s="325" t="s">
        <v>757</v>
      </c>
      <c r="AU5" s="325" t="s">
        <v>758</v>
      </c>
      <c r="AV5" s="325" t="s">
        <v>664</v>
      </c>
      <c r="AW5" s="655" t="s">
        <v>414</v>
      </c>
      <c r="AX5" s="573" t="s">
        <v>416</v>
      </c>
      <c r="AY5" s="563" t="s">
        <v>474</v>
      </c>
      <c r="AZ5" s="328" t="s">
        <v>654</v>
      </c>
      <c r="BA5" s="325" t="s">
        <v>655</v>
      </c>
      <c r="BB5" s="325" t="s">
        <v>656</v>
      </c>
      <c r="BC5" s="325" t="s">
        <v>657</v>
      </c>
      <c r="BD5" s="325" t="s">
        <v>658</v>
      </c>
      <c r="BE5" s="325" t="s">
        <v>659</v>
      </c>
      <c r="BF5" s="325" t="s">
        <v>694</v>
      </c>
      <c r="BG5" s="325" t="s">
        <v>660</v>
      </c>
      <c r="BH5" s="325" t="s">
        <v>661</v>
      </c>
      <c r="BI5" s="325" t="s">
        <v>662</v>
      </c>
      <c r="BJ5" s="325" t="s">
        <v>663</v>
      </c>
      <c r="BK5" s="325" t="s">
        <v>255</v>
      </c>
      <c r="BL5" s="325" t="s">
        <v>664</v>
      </c>
      <c r="BM5" s="325" t="s">
        <v>770</v>
      </c>
      <c r="BN5" s="655" t="s">
        <v>414</v>
      </c>
      <c r="BO5" s="573" t="s">
        <v>416</v>
      </c>
      <c r="BP5" s="563" t="s">
        <v>477</v>
      </c>
      <c r="BQ5" s="328" t="s">
        <v>654</v>
      </c>
      <c r="BR5" s="325" t="s">
        <v>655</v>
      </c>
      <c r="BS5" s="325" t="s">
        <v>656</v>
      </c>
      <c r="BT5" s="325" t="s">
        <v>657</v>
      </c>
      <c r="BU5" s="325" t="s">
        <v>702</v>
      </c>
      <c r="BV5" s="325" t="s">
        <v>658</v>
      </c>
      <c r="BW5" s="325" t="s">
        <v>703</v>
      </c>
      <c r="BX5" s="325" t="s">
        <v>659</v>
      </c>
      <c r="BY5" s="325" t="s">
        <v>694</v>
      </c>
      <c r="BZ5" s="325" t="s">
        <v>660</v>
      </c>
      <c r="CA5" s="325" t="s">
        <v>661</v>
      </c>
      <c r="CB5" s="325" t="s">
        <v>662</v>
      </c>
      <c r="CC5" s="325" t="s">
        <v>663</v>
      </c>
      <c r="CD5" s="325" t="s">
        <v>255</v>
      </c>
      <c r="CE5" s="325" t="s">
        <v>704</v>
      </c>
      <c r="CF5" s="325" t="s">
        <v>664</v>
      </c>
      <c r="CG5" s="655" t="s">
        <v>414</v>
      </c>
      <c r="CH5" s="573" t="s">
        <v>416</v>
      </c>
      <c r="CI5" s="563" t="s">
        <v>486</v>
      </c>
      <c r="CJ5" s="626" t="s">
        <v>11</v>
      </c>
      <c r="CK5" s="627"/>
      <c r="CL5" s="627"/>
      <c r="CM5" s="627"/>
      <c r="CN5" s="628"/>
      <c r="CO5" s="569" t="s">
        <v>539</v>
      </c>
      <c r="CP5" s="570"/>
      <c r="CQ5" s="570"/>
      <c r="CR5" s="571"/>
    </row>
    <row r="6" spans="1:96" ht="57" customHeight="1" x14ac:dyDescent="0.25">
      <c r="A6" s="584"/>
      <c r="B6" s="514"/>
      <c r="C6" s="514"/>
      <c r="D6" s="514"/>
      <c r="E6" s="514"/>
      <c r="F6" s="582"/>
      <c r="G6" s="514"/>
      <c r="H6" s="514"/>
      <c r="I6" s="514"/>
      <c r="J6" s="514"/>
      <c r="K6" s="514"/>
      <c r="L6" s="580"/>
      <c r="M6" s="220" t="s">
        <v>775</v>
      </c>
      <c r="N6" s="4" t="s">
        <v>775</v>
      </c>
      <c r="O6" s="4" t="s">
        <v>775</v>
      </c>
      <c r="P6" s="4" t="s">
        <v>775</v>
      </c>
      <c r="Q6" s="4" t="s">
        <v>775</v>
      </c>
      <c r="R6" s="4" t="s">
        <v>775</v>
      </c>
      <c r="S6" s="4" t="s">
        <v>775</v>
      </c>
      <c r="T6" s="4" t="s">
        <v>775</v>
      </c>
      <c r="U6" s="4" t="s">
        <v>775</v>
      </c>
      <c r="V6" s="4" t="s">
        <v>775</v>
      </c>
      <c r="W6" s="4" t="s">
        <v>775</v>
      </c>
      <c r="X6" s="4" t="s">
        <v>775</v>
      </c>
      <c r="Y6" s="4" t="s">
        <v>775</v>
      </c>
      <c r="Z6" s="4" t="s">
        <v>775</v>
      </c>
      <c r="AA6" s="4" t="s">
        <v>775</v>
      </c>
      <c r="AB6" s="4" t="s">
        <v>775</v>
      </c>
      <c r="AC6" s="4" t="s">
        <v>775</v>
      </c>
      <c r="AD6" s="656"/>
      <c r="AE6" s="574"/>
      <c r="AF6" s="564"/>
      <c r="AG6" s="220" t="s">
        <v>298</v>
      </c>
      <c r="AH6" s="4" t="s">
        <v>298</v>
      </c>
      <c r="AI6" s="4" t="s">
        <v>298</v>
      </c>
      <c r="AJ6" s="4" t="s">
        <v>298</v>
      </c>
      <c r="AK6" s="4" t="s">
        <v>298</v>
      </c>
      <c r="AL6" s="4" t="s">
        <v>298</v>
      </c>
      <c r="AM6" s="4" t="s">
        <v>298</v>
      </c>
      <c r="AN6" s="4" t="s">
        <v>298</v>
      </c>
      <c r="AO6" s="4" t="s">
        <v>298</v>
      </c>
      <c r="AP6" s="4" t="s">
        <v>298</v>
      </c>
      <c r="AQ6" s="4" t="s">
        <v>298</v>
      </c>
      <c r="AR6" s="4" t="s">
        <v>298</v>
      </c>
      <c r="AS6" s="4" t="s">
        <v>298</v>
      </c>
      <c r="AT6" s="4" t="s">
        <v>298</v>
      </c>
      <c r="AU6" s="4" t="s">
        <v>298</v>
      </c>
      <c r="AV6" s="4" t="s">
        <v>298</v>
      </c>
      <c r="AW6" s="656"/>
      <c r="AX6" s="574"/>
      <c r="AY6" s="564"/>
      <c r="AZ6" s="141" t="s">
        <v>287</v>
      </c>
      <c r="BA6" s="4" t="s">
        <v>287</v>
      </c>
      <c r="BB6" s="4" t="s">
        <v>287</v>
      </c>
      <c r="BC6" s="4" t="s">
        <v>287</v>
      </c>
      <c r="BD6" s="4" t="s">
        <v>287</v>
      </c>
      <c r="BE6" s="4" t="s">
        <v>287</v>
      </c>
      <c r="BF6" s="4" t="s">
        <v>287</v>
      </c>
      <c r="BG6" s="4" t="s">
        <v>287</v>
      </c>
      <c r="BH6" s="4" t="s">
        <v>287</v>
      </c>
      <c r="BI6" s="4" t="s">
        <v>287</v>
      </c>
      <c r="BJ6" s="4" t="s">
        <v>287</v>
      </c>
      <c r="BK6" s="4" t="s">
        <v>287</v>
      </c>
      <c r="BL6" s="4" t="s">
        <v>287</v>
      </c>
      <c r="BM6" s="4" t="s">
        <v>287</v>
      </c>
      <c r="BN6" s="656"/>
      <c r="BO6" s="574"/>
      <c r="BP6" s="564"/>
      <c r="BQ6" s="141" t="s">
        <v>312</v>
      </c>
      <c r="BR6" s="4" t="s">
        <v>312</v>
      </c>
      <c r="BS6" s="4" t="s">
        <v>312</v>
      </c>
      <c r="BT6" s="4" t="s">
        <v>312</v>
      </c>
      <c r="BU6" s="4" t="s">
        <v>312</v>
      </c>
      <c r="BV6" s="4" t="s">
        <v>312</v>
      </c>
      <c r="BW6" s="4" t="s">
        <v>312</v>
      </c>
      <c r="BX6" s="4" t="s">
        <v>312</v>
      </c>
      <c r="BY6" s="4" t="s">
        <v>312</v>
      </c>
      <c r="BZ6" s="4" t="s">
        <v>312</v>
      </c>
      <c r="CA6" s="4" t="s">
        <v>312</v>
      </c>
      <c r="CB6" s="4" t="s">
        <v>312</v>
      </c>
      <c r="CC6" s="4" t="s">
        <v>312</v>
      </c>
      <c r="CD6" s="4" t="s">
        <v>312</v>
      </c>
      <c r="CE6" s="4" t="s">
        <v>312</v>
      </c>
      <c r="CF6" s="4" t="s">
        <v>312</v>
      </c>
      <c r="CG6" s="656"/>
      <c r="CH6" s="574"/>
      <c r="CI6" s="564"/>
      <c r="CJ6" s="154" t="s">
        <v>198</v>
      </c>
      <c r="CK6" s="5" t="s">
        <v>199</v>
      </c>
      <c r="CL6" s="5" t="s">
        <v>200</v>
      </c>
      <c r="CM6" s="5" t="s">
        <v>201</v>
      </c>
      <c r="CN6" s="155" t="s">
        <v>20</v>
      </c>
      <c r="CO6" s="159" t="s">
        <v>202</v>
      </c>
      <c r="CP6" s="31" t="s">
        <v>203</v>
      </c>
      <c r="CQ6" s="31" t="s">
        <v>204</v>
      </c>
      <c r="CR6" s="160" t="s">
        <v>205</v>
      </c>
    </row>
    <row r="7" spans="1:96" ht="101.25" customHeight="1" x14ac:dyDescent="0.25">
      <c r="A7" s="278" t="s">
        <v>76</v>
      </c>
      <c r="B7" s="279" t="s">
        <v>311</v>
      </c>
      <c r="C7" s="248" t="s">
        <v>215</v>
      </c>
      <c r="D7" s="248" t="s">
        <v>217</v>
      </c>
      <c r="E7" s="248" t="s">
        <v>218</v>
      </c>
      <c r="F7" s="251" t="s">
        <v>96</v>
      </c>
      <c r="G7" s="67" t="s">
        <v>316</v>
      </c>
      <c r="H7" s="67" t="s">
        <v>469</v>
      </c>
      <c r="I7" s="65" t="s">
        <v>141</v>
      </c>
      <c r="J7" s="65" t="s">
        <v>482</v>
      </c>
      <c r="K7" s="130" t="s">
        <v>621</v>
      </c>
      <c r="L7" s="239" t="s">
        <v>488</v>
      </c>
      <c r="M7" s="414"/>
      <c r="N7" s="327"/>
      <c r="O7" s="327"/>
      <c r="P7" s="327"/>
      <c r="Q7" s="327"/>
      <c r="R7" s="327"/>
      <c r="S7" s="327"/>
      <c r="T7" s="326"/>
      <c r="U7" s="326"/>
      <c r="V7" s="327"/>
      <c r="W7" s="327"/>
      <c r="X7" s="327"/>
      <c r="Y7" s="327"/>
      <c r="Z7" s="327"/>
      <c r="AA7" s="327"/>
      <c r="AB7" s="327"/>
      <c r="AC7" s="327"/>
      <c r="AD7" s="53"/>
      <c r="AE7" s="53"/>
      <c r="AF7" s="143" t="e">
        <f>AVERAGE(M7:AC7)</f>
        <v>#DIV/0!</v>
      </c>
      <c r="AG7" s="414"/>
      <c r="AH7" s="327"/>
      <c r="AI7" s="327"/>
      <c r="AJ7" s="327"/>
      <c r="AK7" s="327"/>
      <c r="AL7" s="327"/>
      <c r="AM7" s="327"/>
      <c r="AN7" s="326"/>
      <c r="AO7" s="326"/>
      <c r="AP7" s="327"/>
      <c r="AQ7" s="327"/>
      <c r="AR7" s="327"/>
      <c r="AS7" s="327"/>
      <c r="AT7" s="327"/>
      <c r="AU7" s="327"/>
      <c r="AV7" s="327"/>
      <c r="AW7" s="53"/>
      <c r="AX7" s="53"/>
      <c r="AY7" s="143" t="e">
        <f>AVERAGE(AG7:AV7)</f>
        <v>#DIV/0!</v>
      </c>
      <c r="AZ7" s="142"/>
      <c r="BA7" s="53"/>
      <c r="BB7" s="53"/>
      <c r="BC7" s="53"/>
      <c r="BD7" s="53"/>
      <c r="BE7" s="53"/>
      <c r="BF7" s="53"/>
      <c r="BG7" s="53"/>
      <c r="BH7" s="53"/>
      <c r="BI7" s="53"/>
      <c r="BJ7" s="53"/>
      <c r="BK7" s="53"/>
      <c r="BL7" s="53"/>
      <c r="BM7" s="53"/>
      <c r="BN7" s="53"/>
      <c r="BO7" s="53"/>
      <c r="BP7" s="143" t="e">
        <f>AVERAGE(AZ7:BM7)</f>
        <v>#DIV/0!</v>
      </c>
      <c r="BQ7" s="142"/>
      <c r="BR7" s="55"/>
      <c r="BS7" s="55"/>
      <c r="BT7" s="55"/>
      <c r="BU7" s="55"/>
      <c r="BV7" s="55"/>
      <c r="BW7" s="55"/>
      <c r="BX7" s="55"/>
      <c r="BY7" s="55"/>
      <c r="BZ7" s="55"/>
      <c r="CA7" s="55"/>
      <c r="CB7" s="55"/>
      <c r="CC7" s="55"/>
      <c r="CD7" s="55"/>
      <c r="CE7" s="55"/>
      <c r="CF7" s="55"/>
      <c r="CG7" s="53"/>
      <c r="CH7" s="53"/>
      <c r="CI7" s="143" t="e">
        <f>AVERAGE(BQ7:CF7)</f>
        <v>#DIV/0!</v>
      </c>
      <c r="CJ7" s="25" t="str">
        <f>IFERROR(IF(AF7&gt;=0.9,1,(AF7*100%)/0.9),"-")</f>
        <v>-</v>
      </c>
      <c r="CK7" s="25" t="str">
        <f>IFERROR(IF(AY7&gt;=0.9,1,(AY7*100%)/0.9),"-")</f>
        <v>-</v>
      </c>
      <c r="CL7" s="25" t="str">
        <f>IFERROR(IF(BP7&gt;=0.9,1,(BP7*100%)/0.9),"-")</f>
        <v>-</v>
      </c>
      <c r="CM7" s="25" t="str">
        <f>IFERROR(IF(CI7&gt;=0.9,1,(CI7*100%)/0.9),"-")</f>
        <v>-</v>
      </c>
      <c r="CN7" s="157" t="str">
        <f>IFERROR(AVERAGE(CJ7:CM7),"-")</f>
        <v>-</v>
      </c>
      <c r="CO7" s="161"/>
      <c r="CP7" s="33"/>
      <c r="CQ7" s="34"/>
      <c r="CR7" s="162"/>
    </row>
    <row r="8" spans="1:96" ht="27" customHeight="1" thickBot="1" x14ac:dyDescent="0.3">
      <c r="A8" s="629" t="s">
        <v>293</v>
      </c>
      <c r="B8" s="630"/>
      <c r="C8" s="630"/>
      <c r="D8" s="630"/>
      <c r="E8" s="630"/>
      <c r="F8" s="630"/>
      <c r="G8" s="630"/>
      <c r="H8" s="630"/>
      <c r="I8" s="630"/>
      <c r="J8" s="631"/>
      <c r="K8" s="631"/>
      <c r="L8" s="632"/>
      <c r="M8" s="304" t="str">
        <f t="shared" ref="M8:AA8" si="0">IFERROR(AVERAGE(M7:M7),"-")</f>
        <v>-</v>
      </c>
      <c r="N8" s="304" t="str">
        <f t="shared" si="0"/>
        <v>-</v>
      </c>
      <c r="O8" s="304" t="str">
        <f t="shared" si="0"/>
        <v>-</v>
      </c>
      <c r="P8" s="304" t="str">
        <f t="shared" si="0"/>
        <v>-</v>
      </c>
      <c r="Q8" s="304" t="str">
        <f t="shared" si="0"/>
        <v>-</v>
      </c>
      <c r="R8" s="304" t="str">
        <f t="shared" si="0"/>
        <v>-</v>
      </c>
      <c r="S8" s="304" t="str">
        <f t="shared" si="0"/>
        <v>-</v>
      </c>
      <c r="T8" s="304" t="str">
        <f t="shared" si="0"/>
        <v>-</v>
      </c>
      <c r="U8" s="304" t="str">
        <f t="shared" si="0"/>
        <v>-</v>
      </c>
      <c r="V8" s="304" t="str">
        <f t="shared" si="0"/>
        <v>-</v>
      </c>
      <c r="W8" s="304" t="str">
        <f t="shared" si="0"/>
        <v>-</v>
      </c>
      <c r="X8" s="304" t="str">
        <f t="shared" si="0"/>
        <v>-</v>
      </c>
      <c r="Y8" s="304" t="str">
        <f t="shared" si="0"/>
        <v>-</v>
      </c>
      <c r="Z8" s="304" t="str">
        <f t="shared" si="0"/>
        <v>-</v>
      </c>
      <c r="AA8" s="304" t="str">
        <f t="shared" si="0"/>
        <v>-</v>
      </c>
      <c r="AB8" s="304" t="str">
        <f t="shared" ref="AB8" si="1">IFERROR(AVERAGE(AB7:AB7),"-")</f>
        <v>-</v>
      </c>
      <c r="AC8" s="304"/>
      <c r="AD8" s="209"/>
      <c r="AE8" s="118"/>
      <c r="AF8" s="619" t="str">
        <f t="shared" ref="AF8" si="2">IFERROR(AVERAGE(AF7:AF7),"-")</f>
        <v>-</v>
      </c>
      <c r="AG8" s="304" t="str">
        <f t="shared" ref="AG8:AM8" si="3">IFERROR(AVERAGE(AG7:AG7),"-")</f>
        <v>-</v>
      </c>
      <c r="AH8" s="304" t="str">
        <f t="shared" si="3"/>
        <v>-</v>
      </c>
      <c r="AI8" s="304" t="str">
        <f t="shared" si="3"/>
        <v>-</v>
      </c>
      <c r="AJ8" s="304" t="str">
        <f t="shared" si="3"/>
        <v>-</v>
      </c>
      <c r="AK8" s="304" t="str">
        <f t="shared" si="3"/>
        <v>-</v>
      </c>
      <c r="AL8" s="304" t="str">
        <f t="shared" si="3"/>
        <v>-</v>
      </c>
      <c r="AM8" s="304" t="str">
        <f t="shared" si="3"/>
        <v>-</v>
      </c>
      <c r="AN8" s="304" t="str">
        <f t="shared" ref="AN8:AV8" si="4">IFERROR(AVERAGE(AN7:AN7),"-")</f>
        <v>-</v>
      </c>
      <c r="AO8" s="304" t="str">
        <f t="shared" si="4"/>
        <v>-</v>
      </c>
      <c r="AP8" s="304" t="str">
        <f t="shared" si="4"/>
        <v>-</v>
      </c>
      <c r="AQ8" s="327">
        <v>1</v>
      </c>
      <c r="AR8" s="327">
        <v>1</v>
      </c>
      <c r="AS8" s="304" t="str">
        <f t="shared" si="4"/>
        <v>-</v>
      </c>
      <c r="AT8" s="327">
        <v>1</v>
      </c>
      <c r="AU8" s="327">
        <v>0.67</v>
      </c>
      <c r="AV8" s="304" t="str">
        <f t="shared" si="4"/>
        <v>-</v>
      </c>
      <c r="AW8" s="209"/>
      <c r="AX8" s="118"/>
      <c r="AY8" s="619" t="str">
        <f t="shared" ref="AY8:BM8" si="5">IFERROR(AVERAGE(AY7:AY7),"-")</f>
        <v>-</v>
      </c>
      <c r="AZ8" s="313" t="str">
        <f t="shared" si="5"/>
        <v>-</v>
      </c>
      <c r="BA8" s="314" t="str">
        <f t="shared" si="5"/>
        <v>-</v>
      </c>
      <c r="BB8" s="314" t="str">
        <f t="shared" si="5"/>
        <v>-</v>
      </c>
      <c r="BC8" s="314" t="str">
        <f t="shared" si="5"/>
        <v>-</v>
      </c>
      <c r="BD8" s="314" t="str">
        <f t="shared" si="5"/>
        <v>-</v>
      </c>
      <c r="BE8" s="314" t="str">
        <f t="shared" si="5"/>
        <v>-</v>
      </c>
      <c r="BF8" s="314" t="str">
        <f t="shared" si="5"/>
        <v>-</v>
      </c>
      <c r="BG8" s="314" t="str">
        <f t="shared" si="5"/>
        <v>-</v>
      </c>
      <c r="BH8" s="314" t="str">
        <f t="shared" si="5"/>
        <v>-</v>
      </c>
      <c r="BI8" s="314" t="str">
        <f t="shared" si="5"/>
        <v>-</v>
      </c>
      <c r="BJ8" s="314" t="str">
        <f t="shared" si="5"/>
        <v>-</v>
      </c>
      <c r="BK8" s="314" t="str">
        <f t="shared" si="5"/>
        <v>-</v>
      </c>
      <c r="BL8" s="314" t="str">
        <f t="shared" si="5"/>
        <v>-</v>
      </c>
      <c r="BM8" s="314" t="str">
        <f t="shared" si="5"/>
        <v>-</v>
      </c>
      <c r="BN8" s="209"/>
      <c r="BO8" s="118"/>
      <c r="BP8" s="619" t="str">
        <f t="shared" ref="BP8:CF8" si="6">IFERROR(AVERAGE(BP7:BP7),"-")</f>
        <v>-</v>
      </c>
      <c r="BQ8" s="170" t="str">
        <f t="shared" si="6"/>
        <v>-</v>
      </c>
      <c r="BR8" s="171" t="str">
        <f t="shared" si="6"/>
        <v>-</v>
      </c>
      <c r="BS8" s="171" t="str">
        <f t="shared" si="6"/>
        <v>-</v>
      </c>
      <c r="BT8" s="171" t="str">
        <f t="shared" si="6"/>
        <v>-</v>
      </c>
      <c r="BU8" s="171" t="str">
        <f t="shared" si="6"/>
        <v>-</v>
      </c>
      <c r="BV8" s="171" t="str">
        <f t="shared" si="6"/>
        <v>-</v>
      </c>
      <c r="BW8" s="171" t="str">
        <f t="shared" si="6"/>
        <v>-</v>
      </c>
      <c r="BX8" s="171" t="str">
        <f t="shared" si="6"/>
        <v>-</v>
      </c>
      <c r="BY8" s="171" t="str">
        <f t="shared" si="6"/>
        <v>-</v>
      </c>
      <c r="BZ8" s="171" t="str">
        <f t="shared" si="6"/>
        <v>-</v>
      </c>
      <c r="CA8" s="171" t="str">
        <f t="shared" si="6"/>
        <v>-</v>
      </c>
      <c r="CB8" s="171" t="str">
        <f t="shared" si="6"/>
        <v>-</v>
      </c>
      <c r="CC8" s="171" t="str">
        <f t="shared" si="6"/>
        <v>-</v>
      </c>
      <c r="CD8" s="171" t="str">
        <f t="shared" si="6"/>
        <v>-</v>
      </c>
      <c r="CE8" s="171" t="str">
        <f t="shared" si="6"/>
        <v>-</v>
      </c>
      <c r="CF8" s="171" t="str">
        <f t="shared" si="6"/>
        <v>-</v>
      </c>
      <c r="CG8" s="209"/>
      <c r="CH8" s="118"/>
      <c r="CI8" s="619" t="str">
        <f t="shared" ref="CI8:CN8" si="7">IFERROR(AVERAGE(CI7:CI7),"-")</f>
        <v>-</v>
      </c>
      <c r="CJ8" s="170" t="str">
        <f t="shared" si="7"/>
        <v>-</v>
      </c>
      <c r="CK8" s="171" t="str">
        <f t="shared" si="7"/>
        <v>-</v>
      </c>
      <c r="CL8" s="171" t="str">
        <f t="shared" si="7"/>
        <v>-</v>
      </c>
      <c r="CM8" s="56" t="str">
        <f t="shared" si="7"/>
        <v>-</v>
      </c>
      <c r="CN8" s="667" t="str">
        <f t="shared" si="7"/>
        <v>-</v>
      </c>
      <c r="CO8" s="165"/>
      <c r="CP8" s="166"/>
      <c r="CQ8" s="167"/>
      <c r="CR8" s="168"/>
    </row>
    <row r="9" spans="1:96" ht="27" thickBot="1" x14ac:dyDescent="0.3">
      <c r="A9" s="28"/>
      <c r="B9" s="28"/>
      <c r="C9" s="28"/>
      <c r="D9" s="28"/>
      <c r="E9" s="28"/>
      <c r="F9" s="36"/>
      <c r="G9" s="28"/>
      <c r="H9" s="28"/>
      <c r="I9" s="28"/>
      <c r="J9" s="28"/>
      <c r="K9" s="28"/>
      <c r="L9" s="28"/>
      <c r="M9" s="197"/>
      <c r="N9" s="173"/>
      <c r="O9" s="173"/>
      <c r="P9" s="173"/>
      <c r="Q9" s="173"/>
      <c r="R9" s="173"/>
      <c r="S9" s="173"/>
      <c r="T9" s="173"/>
      <c r="U9" s="173"/>
      <c r="V9" s="173"/>
      <c r="W9" s="173"/>
      <c r="X9" s="173"/>
      <c r="Y9" s="173"/>
      <c r="Z9" s="173"/>
      <c r="AA9" s="173"/>
      <c r="AB9" s="181"/>
      <c r="AC9" s="181"/>
      <c r="AD9" s="210"/>
      <c r="AE9" s="187" t="s">
        <v>796</v>
      </c>
      <c r="AF9" s="620"/>
      <c r="AG9" s="197"/>
      <c r="AH9" s="173"/>
      <c r="AI9" s="173"/>
      <c r="AJ9" s="173"/>
      <c r="AK9" s="173"/>
      <c r="AL9" s="173"/>
      <c r="AM9" s="173"/>
      <c r="AN9" s="173"/>
      <c r="AO9" s="173"/>
      <c r="AP9" s="173"/>
      <c r="AQ9" s="173"/>
      <c r="AR9" s="173"/>
      <c r="AS9" s="173"/>
      <c r="AT9" s="173"/>
      <c r="AU9" s="173"/>
      <c r="AV9" s="181"/>
      <c r="AW9" s="210"/>
      <c r="AX9" s="187" t="s">
        <v>295</v>
      </c>
      <c r="AY9" s="620"/>
      <c r="AZ9" s="195"/>
      <c r="BA9" s="173"/>
      <c r="BB9" s="173"/>
      <c r="BC9" s="173"/>
      <c r="BD9" s="173"/>
      <c r="BE9" s="173"/>
      <c r="BF9" s="173"/>
      <c r="BG9" s="173"/>
      <c r="BH9" s="173"/>
      <c r="BI9" s="173"/>
      <c r="BJ9" s="173"/>
      <c r="BK9" s="173"/>
      <c r="BL9" s="173"/>
      <c r="BM9" s="181"/>
      <c r="BN9" s="210"/>
      <c r="BO9" s="187" t="s">
        <v>296</v>
      </c>
      <c r="BP9" s="620"/>
      <c r="BQ9" s="195"/>
      <c r="BR9" s="173"/>
      <c r="BS9" s="173"/>
      <c r="BT9" s="173"/>
      <c r="BU9" s="173"/>
      <c r="BV9" s="173"/>
      <c r="BW9" s="173"/>
      <c r="BX9" s="173"/>
      <c r="BY9" s="173"/>
      <c r="BZ9" s="173"/>
      <c r="CA9" s="173"/>
      <c r="CB9" s="173"/>
      <c r="CC9" s="173"/>
      <c r="CD9" s="173"/>
      <c r="CE9" s="173"/>
      <c r="CF9" s="181"/>
      <c r="CG9" s="210"/>
      <c r="CH9" s="187" t="s">
        <v>297</v>
      </c>
      <c r="CI9" s="620"/>
      <c r="CJ9" s="172"/>
      <c r="CK9" s="173"/>
      <c r="CL9" s="174"/>
      <c r="CM9" s="158" t="s">
        <v>294</v>
      </c>
      <c r="CN9" s="668"/>
      <c r="CO9" s="28"/>
      <c r="CP9" s="28"/>
      <c r="CQ9" s="28"/>
      <c r="CR9" s="28"/>
    </row>
  </sheetData>
  <mergeCells count="39">
    <mergeCell ref="AF8:AF9"/>
    <mergeCell ref="CJ5:CN5"/>
    <mergeCell ref="E5:E6"/>
    <mergeCell ref="F5:F6"/>
    <mergeCell ref="G5:G6"/>
    <mergeCell ref="H5:H6"/>
    <mergeCell ref="I5:I6"/>
    <mergeCell ref="J5:J6"/>
    <mergeCell ref="K5:K6"/>
    <mergeCell ref="AD5:AD6"/>
    <mergeCell ref="AE5:AE6"/>
    <mergeCell ref="AF5:AF6"/>
    <mergeCell ref="CO5:CR5"/>
    <mergeCell ref="CH5:CH6"/>
    <mergeCell ref="CI8:CI9"/>
    <mergeCell ref="CN8:CN9"/>
    <mergeCell ref="L5:L6"/>
    <mergeCell ref="AW5:AW6"/>
    <mergeCell ref="AX5:AX6"/>
    <mergeCell ref="BN5:BN6"/>
    <mergeCell ref="BO5:BO6"/>
    <mergeCell ref="CG5:CG6"/>
    <mergeCell ref="AY5:AY6"/>
    <mergeCell ref="BP5:BP6"/>
    <mergeCell ref="BP8:BP9"/>
    <mergeCell ref="A8:L8"/>
    <mergeCell ref="AY8:AY9"/>
    <mergeCell ref="CI5:CI6"/>
    <mergeCell ref="A4:D4"/>
    <mergeCell ref="A5:A6"/>
    <mergeCell ref="B5:B6"/>
    <mergeCell ref="C5:C6"/>
    <mergeCell ref="D5:D6"/>
    <mergeCell ref="A1:B1"/>
    <mergeCell ref="C1:CO1"/>
    <mergeCell ref="CP1:CR2"/>
    <mergeCell ref="A2:B3"/>
    <mergeCell ref="C2:CO3"/>
    <mergeCell ref="CP3:CR3"/>
  </mergeCells>
  <conditionalFormatting sqref="CJ7:CN7 CN8">
    <cfRule type="cellIs" dxfId="44" priority="1" operator="lessThan">
      <formula>0.6</formula>
    </cfRule>
    <cfRule type="cellIs" dxfId="43" priority="2" operator="between">
      <formula>60%</formula>
      <formula>79%</formula>
    </cfRule>
    <cfRule type="cellIs" dxfId="42" priority="3" operator="between">
      <formula>80%</formula>
      <formula>100%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1:AP17"/>
  <sheetViews>
    <sheetView topLeftCell="A4" zoomScale="70" zoomScaleNormal="70" workbookViewId="0">
      <selection activeCell="AJ21" sqref="AJ21"/>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4" customWidth="1"/>
    <col min="8" max="8" width="30.7109375" customWidth="1"/>
    <col min="9" max="10" width="14.42578125" customWidth="1"/>
    <col min="11" max="11" width="16.7109375" customWidth="1"/>
    <col min="12" max="12" width="15" customWidth="1"/>
    <col min="13" max="13" width="19.42578125" customWidth="1"/>
    <col min="14" max="14" width="26" customWidth="1"/>
    <col min="15" max="15" width="32.42578125" customWidth="1"/>
    <col min="16" max="17" width="19.42578125" customWidth="1"/>
    <col min="18" max="18" width="26" customWidth="1"/>
    <col min="19" max="19" width="32.42578125" customWidth="1"/>
    <col min="20" max="20" width="19.42578125" customWidth="1"/>
    <col min="21" max="21" width="28.5703125" customWidth="1"/>
    <col min="22" max="22" width="24.28515625" customWidth="1"/>
    <col min="23" max="23" width="25.7109375" customWidth="1"/>
    <col min="24" max="25" width="19.42578125" customWidth="1"/>
    <col min="26" max="26" width="23.5703125" customWidth="1"/>
    <col min="27" max="27" width="23.28515625" customWidth="1"/>
    <col min="28" max="30" width="19.42578125" customWidth="1"/>
    <col min="31" max="31" width="21.28515625" customWidth="1"/>
    <col min="32" max="32" width="22.140625" customWidth="1"/>
    <col min="33" max="33" width="19.42578125" customWidth="1"/>
    <col min="34" max="38" width="17.7109375" customWidth="1"/>
    <col min="39" max="42" width="26.5703125" customWidth="1"/>
  </cols>
  <sheetData>
    <row r="1" spans="1:42"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77"/>
      <c r="AO1" s="577"/>
      <c r="AP1" s="577"/>
    </row>
    <row r="2" spans="1:42" ht="41.25" customHeight="1" x14ac:dyDescent="0.25">
      <c r="A2" s="568" t="s">
        <v>720</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77"/>
      <c r="AO2" s="577"/>
      <c r="AP2" s="577"/>
    </row>
    <row r="3" spans="1:42"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78" t="s">
        <v>718</v>
      </c>
      <c r="AO3" s="578"/>
      <c r="AP3" s="578"/>
    </row>
    <row r="4" spans="1:42" ht="15.75" thickBot="1" x14ac:dyDescent="0.3">
      <c r="A4" s="572" t="s">
        <v>193</v>
      </c>
      <c r="B4" s="572"/>
      <c r="C4" s="572"/>
      <c r="D4" s="572"/>
      <c r="E4" s="28"/>
      <c r="F4" s="36"/>
      <c r="G4" s="28"/>
      <c r="H4" s="28"/>
      <c r="I4" s="28"/>
      <c r="J4" s="28"/>
      <c r="K4" s="28"/>
      <c r="L4" s="28"/>
      <c r="M4" s="54"/>
      <c r="N4" s="28"/>
      <c r="O4" s="28"/>
      <c r="P4" s="28"/>
      <c r="Q4" s="54"/>
      <c r="R4" s="28"/>
      <c r="S4" s="28"/>
      <c r="T4" s="28"/>
      <c r="U4" s="28"/>
      <c r="V4" s="54"/>
      <c r="W4" s="28"/>
      <c r="X4" s="28"/>
      <c r="Y4" s="28"/>
      <c r="Z4" s="28"/>
      <c r="AA4" s="54"/>
      <c r="AB4" s="28"/>
      <c r="AC4" s="28"/>
      <c r="AD4" s="28"/>
      <c r="AE4" s="28"/>
      <c r="AF4" s="28"/>
      <c r="AG4" s="28"/>
      <c r="AH4" s="28"/>
      <c r="AI4" s="28"/>
      <c r="AJ4" s="28"/>
      <c r="AK4" s="28"/>
      <c r="AL4" s="28"/>
      <c r="AM4" s="28"/>
      <c r="AN4" s="28"/>
      <c r="AO4" s="28"/>
      <c r="AP4" s="28"/>
    </row>
    <row r="5" spans="1:42" ht="57" customHeight="1" x14ac:dyDescent="0.25">
      <c r="A5" s="583" t="s">
        <v>1</v>
      </c>
      <c r="B5" s="575" t="s">
        <v>3</v>
      </c>
      <c r="C5" s="575" t="s">
        <v>194</v>
      </c>
      <c r="D5" s="575" t="s">
        <v>195</v>
      </c>
      <c r="E5" s="575" t="s">
        <v>196</v>
      </c>
      <c r="F5" s="581" t="s">
        <v>781</v>
      </c>
      <c r="G5" s="575" t="s">
        <v>228</v>
      </c>
      <c r="H5" s="575" t="s">
        <v>227</v>
      </c>
      <c r="I5" s="575" t="s">
        <v>8</v>
      </c>
      <c r="J5" s="575" t="s">
        <v>481</v>
      </c>
      <c r="K5" s="575" t="s">
        <v>501</v>
      </c>
      <c r="L5" s="579" t="s">
        <v>9</v>
      </c>
      <c r="M5" s="140" t="s">
        <v>467</v>
      </c>
      <c r="N5" s="655" t="s">
        <v>414</v>
      </c>
      <c r="O5" s="573" t="s">
        <v>416</v>
      </c>
      <c r="P5" s="563" t="s">
        <v>776</v>
      </c>
      <c r="Q5" s="140" t="s">
        <v>467</v>
      </c>
      <c r="R5" s="655" t="s">
        <v>414</v>
      </c>
      <c r="S5" s="573" t="s">
        <v>416</v>
      </c>
      <c r="T5" s="563" t="s">
        <v>474</v>
      </c>
      <c r="U5" s="140" t="s">
        <v>317</v>
      </c>
      <c r="V5" s="655" t="s">
        <v>414</v>
      </c>
      <c r="W5" s="573" t="s">
        <v>416</v>
      </c>
      <c r="X5" s="563" t="s">
        <v>477</v>
      </c>
      <c r="Y5" s="140" t="s">
        <v>317</v>
      </c>
      <c r="Z5" s="655" t="s">
        <v>414</v>
      </c>
      <c r="AA5" s="573" t="s">
        <v>416</v>
      </c>
      <c r="AB5" s="563" t="s">
        <v>479</v>
      </c>
      <c r="AC5" s="626" t="s">
        <v>11</v>
      </c>
      <c r="AD5" s="627"/>
      <c r="AE5" s="627"/>
      <c r="AF5" s="627"/>
      <c r="AG5" s="628"/>
      <c r="AH5" s="569" t="s">
        <v>539</v>
      </c>
      <c r="AI5" s="570"/>
      <c r="AJ5" s="570"/>
      <c r="AK5" s="571"/>
    </row>
    <row r="6" spans="1:42" ht="57" customHeight="1" x14ac:dyDescent="0.25">
      <c r="A6" s="584"/>
      <c r="B6" s="514"/>
      <c r="C6" s="514"/>
      <c r="D6" s="514"/>
      <c r="E6" s="514"/>
      <c r="F6" s="582"/>
      <c r="G6" s="514"/>
      <c r="H6" s="514"/>
      <c r="I6" s="514"/>
      <c r="J6" s="514"/>
      <c r="K6" s="514"/>
      <c r="L6" s="580"/>
      <c r="M6" s="141" t="s">
        <v>775</v>
      </c>
      <c r="N6" s="656"/>
      <c r="O6" s="574"/>
      <c r="P6" s="564"/>
      <c r="Q6" s="141" t="s">
        <v>298</v>
      </c>
      <c r="R6" s="656"/>
      <c r="S6" s="574"/>
      <c r="T6" s="564"/>
      <c r="U6" s="141" t="s">
        <v>287</v>
      </c>
      <c r="V6" s="656"/>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42" ht="84.75" customHeight="1" x14ac:dyDescent="0.25">
      <c r="A7" s="705" t="s">
        <v>343</v>
      </c>
      <c r="B7" s="699" t="s">
        <v>344</v>
      </c>
      <c r="C7" s="699" t="s">
        <v>345</v>
      </c>
      <c r="D7" s="699" t="s">
        <v>346</v>
      </c>
      <c r="E7" s="699" t="s">
        <v>347</v>
      </c>
      <c r="F7" s="679">
        <v>0.8</v>
      </c>
      <c r="G7" s="6" t="s">
        <v>348</v>
      </c>
      <c r="H7" s="76" t="s">
        <v>728</v>
      </c>
      <c r="I7" s="72" t="s">
        <v>132</v>
      </c>
      <c r="J7" s="198" t="s">
        <v>482</v>
      </c>
      <c r="K7" s="176" t="s">
        <v>754</v>
      </c>
      <c r="L7" s="183" t="s">
        <v>800</v>
      </c>
      <c r="M7" s="142"/>
      <c r="N7" s="133"/>
      <c r="O7" s="133"/>
      <c r="P7" s="143" t="e">
        <f>AVERAGE(M7:M7)</f>
        <v>#DIV/0!</v>
      </c>
      <c r="Q7" s="142"/>
      <c r="R7" s="133"/>
      <c r="S7" s="133"/>
      <c r="T7" s="143" t="e">
        <f>AVERAGE(Q7:Q7)</f>
        <v>#DIV/0!</v>
      </c>
      <c r="U7" s="196"/>
      <c r="V7" s="133"/>
      <c r="W7" s="133"/>
      <c r="X7" s="143" t="e">
        <f>(AVERAGE(U7:W7))</f>
        <v>#DIV/0!</v>
      </c>
      <c r="Y7" s="142"/>
      <c r="Z7" s="133"/>
      <c r="AA7" s="133"/>
      <c r="AB7" s="143" t="e">
        <f>+AVERAGE(Y7:AA7)</f>
        <v>#DIV/0!</v>
      </c>
      <c r="AC7" s="25" t="str">
        <f>IFERROR(IF(P7&gt;=0.8,1,(P7*100%)/0.8),"-")</f>
        <v>-</v>
      </c>
      <c r="AD7" s="25" t="str">
        <f>IFERROR(IF(T7&gt;=0.8,1,(T7*100%)/0.8),"-")</f>
        <v>-</v>
      </c>
      <c r="AE7" s="25" t="str">
        <f>IFERROR(IF(X7&gt;=0.8,1,(X7*100%)/0.8),"-")</f>
        <v>-</v>
      </c>
      <c r="AF7" s="25" t="str">
        <f>IFERROR(IF(AB7&gt;=0.8,1,(AB7*100%)/0.8),"-")</f>
        <v>-</v>
      </c>
      <c r="AG7" s="157" t="str">
        <f>IFERROR(AVERAGE(AC7:AF7),"-")</f>
        <v>-</v>
      </c>
      <c r="AH7" s="161"/>
      <c r="AI7" s="33"/>
      <c r="AJ7" s="34"/>
      <c r="AK7" s="162"/>
    </row>
    <row r="8" spans="1:42" ht="54.75" customHeight="1" x14ac:dyDescent="0.25">
      <c r="A8" s="706"/>
      <c r="B8" s="677"/>
      <c r="C8" s="677"/>
      <c r="D8" s="677"/>
      <c r="E8" s="677"/>
      <c r="F8" s="680"/>
      <c r="G8" s="6" t="s">
        <v>798</v>
      </c>
      <c r="H8" s="76" t="s">
        <v>827</v>
      </c>
      <c r="I8" s="72">
        <v>1</v>
      </c>
      <c r="J8" s="198" t="s">
        <v>483</v>
      </c>
      <c r="K8" s="176" t="s">
        <v>668</v>
      </c>
      <c r="L8" s="183" t="s">
        <v>800</v>
      </c>
      <c r="M8" s="150"/>
      <c r="N8" s="133"/>
      <c r="O8" s="133"/>
      <c r="P8" s="143" t="e">
        <f>AVERAGE(M8:M8)</f>
        <v>#DIV/0!</v>
      </c>
      <c r="Q8" s="150"/>
      <c r="R8" s="133"/>
      <c r="S8" s="133"/>
      <c r="T8" s="143" t="e">
        <f>AVERAGE(Q8:Q8)</f>
        <v>#DIV/0!</v>
      </c>
      <c r="U8" s="430"/>
      <c r="V8" s="133"/>
      <c r="W8" s="133"/>
      <c r="X8" s="218" t="e">
        <f>(AVERAGE(U8:W8))</f>
        <v>#DIV/0!</v>
      </c>
      <c r="Y8" s="359"/>
      <c r="Z8" s="133"/>
      <c r="AA8" s="133"/>
      <c r="AB8" s="143" t="e">
        <f>+AVERAGE(Y8:AA8)</f>
        <v>#DIV/0!</v>
      </c>
      <c r="AC8" s="156" t="s">
        <v>226</v>
      </c>
      <c r="AD8" s="25" t="str">
        <f>IFERROR(IF(T8&gt;=1,1,(T8*100%)/1),"-")</f>
        <v>-</v>
      </c>
      <c r="AE8" s="25" t="str">
        <f>IFERROR(IF(X8&gt;=1,1,(X8*100%)/1),"-")</f>
        <v>-</v>
      </c>
      <c r="AF8" s="25" t="str">
        <f>IFERROR(IF(AB8&gt;=1,1,(AB8*100%)/1),"-")</f>
        <v>-</v>
      </c>
      <c r="AG8" s="157" t="str">
        <f>IFERROR(AVERAGE(AC8:AF8),"-")</f>
        <v>-</v>
      </c>
      <c r="AH8" s="163"/>
      <c r="AI8" s="29"/>
      <c r="AJ8" s="27"/>
      <c r="AK8" s="164"/>
    </row>
    <row r="9" spans="1:42" ht="76.5" x14ac:dyDescent="0.25">
      <c r="A9" s="707"/>
      <c r="B9" s="700"/>
      <c r="C9" s="700"/>
      <c r="D9" s="700"/>
      <c r="E9" s="700"/>
      <c r="F9" s="681"/>
      <c r="G9" s="77" t="s">
        <v>349</v>
      </c>
      <c r="H9" s="74" t="s">
        <v>709</v>
      </c>
      <c r="I9" s="72" t="s">
        <v>132</v>
      </c>
      <c r="J9" s="198" t="s">
        <v>482</v>
      </c>
      <c r="K9" s="176" t="s">
        <v>754</v>
      </c>
      <c r="L9" s="183" t="s">
        <v>800</v>
      </c>
      <c r="M9" s="142"/>
      <c r="N9" s="134"/>
      <c r="O9" s="134"/>
      <c r="P9" s="143" t="e">
        <f>AVERAGE(M9:M9)</f>
        <v>#DIV/0!</v>
      </c>
      <c r="Q9" s="142"/>
      <c r="R9" s="134"/>
      <c r="S9" s="134"/>
      <c r="T9" s="143" t="e">
        <f>AVERAGE(Q9:Q9)</f>
        <v>#DIV/0!</v>
      </c>
      <c r="U9" s="196"/>
      <c r="V9" s="134"/>
      <c r="W9" s="134"/>
      <c r="X9" s="143" t="e">
        <f>(AVERAGE(U9:W9))</f>
        <v>#DIV/0!</v>
      </c>
      <c r="Y9" s="142"/>
      <c r="Z9" s="134"/>
      <c r="AA9" s="134"/>
      <c r="AB9" s="143" t="e">
        <f>+AVERAGE(Y9:AA9)</f>
        <v>#DIV/0!</v>
      </c>
      <c r="AC9" s="156" t="s">
        <v>226</v>
      </c>
      <c r="AD9" s="25" t="str">
        <f>IFERROR(IF(T9&gt;=0.8,1,(T9*100%)/0.8),"-")</f>
        <v>-</v>
      </c>
      <c r="AE9" s="25" t="str">
        <f>IFERROR(IF(X9&gt;=0.8,1,(X9*100%)/0.8),"-")</f>
        <v>-</v>
      </c>
      <c r="AF9" s="25" t="str">
        <f>IFERROR(IF(AB9&gt;=0.8,1,(AB9*100%)/0.8),"-")</f>
        <v>-</v>
      </c>
      <c r="AG9" s="157" t="str">
        <f>IFERROR(AVERAGE(AC9:AF9),"-")</f>
        <v>-</v>
      </c>
      <c r="AH9" s="163"/>
      <c r="AI9" s="29"/>
      <c r="AJ9" s="27"/>
      <c r="AK9" s="193"/>
    </row>
    <row r="10" spans="1:42" ht="26.25" thickBot="1" x14ac:dyDescent="0.3">
      <c r="A10" s="629" t="s">
        <v>293</v>
      </c>
      <c r="B10" s="630"/>
      <c r="C10" s="630"/>
      <c r="D10" s="630"/>
      <c r="E10" s="630"/>
      <c r="F10" s="630"/>
      <c r="G10" s="630"/>
      <c r="H10" s="630"/>
      <c r="I10" s="630"/>
      <c r="J10" s="631"/>
      <c r="K10" s="631"/>
      <c r="L10" s="632"/>
      <c r="M10" s="303" t="str">
        <f t="shared" ref="M10" si="0">IFERROR(AVERAGE(M7:M9),"-")</f>
        <v>-</v>
      </c>
      <c r="N10" s="147"/>
      <c r="O10" s="118"/>
      <c r="P10" s="669"/>
      <c r="Q10" s="303" t="str">
        <f t="shared" ref="Q10:AC10" si="1">IFERROR(AVERAGE(Q7:Q9),"-")</f>
        <v>-</v>
      </c>
      <c r="R10" s="147"/>
      <c r="S10" s="118"/>
      <c r="T10" s="669"/>
      <c r="U10" s="170" t="str">
        <f t="shared" si="1"/>
        <v>-</v>
      </c>
      <c r="V10" s="147"/>
      <c r="W10" s="118"/>
      <c r="X10" s="669" t="str">
        <f t="shared" si="1"/>
        <v>-</v>
      </c>
      <c r="Y10" s="170" t="str">
        <f t="shared" si="1"/>
        <v>-</v>
      </c>
      <c r="Z10" s="147"/>
      <c r="AA10" s="118"/>
      <c r="AB10" s="669" t="str">
        <f t="shared" si="1"/>
        <v>-</v>
      </c>
      <c r="AC10" s="170" t="str">
        <f t="shared" si="1"/>
        <v>-</v>
      </c>
      <c r="AD10" s="304" t="str">
        <f>IFERROR(AVERAGE(AD8:AD9),"-")</f>
        <v>-</v>
      </c>
      <c r="AE10" s="304" t="str">
        <f>IFERROR(AVERAGE(AE7:AE9),"-")</f>
        <v>-</v>
      </c>
      <c r="AF10" s="307" t="str">
        <f>IFERROR(AVERAGE(AF7:AF9),"-")</f>
        <v>-</v>
      </c>
      <c r="AG10" s="695" t="str">
        <f>IFERROR(AVERAGE(AG7:AG9),"-")</f>
        <v>-</v>
      </c>
      <c r="AH10" s="165"/>
      <c r="AI10" s="166"/>
      <c r="AJ10" s="167"/>
      <c r="AK10" s="168"/>
    </row>
    <row r="11" spans="1:42" ht="27" thickBot="1" x14ac:dyDescent="0.3">
      <c r="A11" s="28"/>
      <c r="B11" s="28"/>
      <c r="C11" s="28"/>
      <c r="D11" s="28"/>
      <c r="E11" s="28"/>
      <c r="F11" s="36"/>
      <c r="G11" s="28"/>
      <c r="H11" s="28"/>
      <c r="I11" s="28"/>
      <c r="J11" s="28"/>
      <c r="K11" s="28"/>
      <c r="L11" s="28"/>
      <c r="M11" s="197"/>
      <c r="N11" s="174"/>
      <c r="O11" s="187"/>
      <c r="P11" s="670"/>
      <c r="Q11" s="197"/>
      <c r="R11" s="174"/>
      <c r="S11" s="187"/>
      <c r="T11" s="670"/>
      <c r="U11" s="195"/>
      <c r="V11" s="174"/>
      <c r="W11" s="187" t="s">
        <v>296</v>
      </c>
      <c r="X11" s="670"/>
      <c r="Y11" s="195"/>
      <c r="Z11" s="174"/>
      <c r="AA11" s="187" t="s">
        <v>423</v>
      </c>
      <c r="AB11" s="670"/>
      <c r="AC11" s="172"/>
      <c r="AD11" s="173"/>
      <c r="AE11" s="174"/>
      <c r="AF11" s="158" t="s">
        <v>294</v>
      </c>
      <c r="AG11" s="696"/>
      <c r="AH11" s="28"/>
      <c r="AI11" s="28"/>
      <c r="AJ11" s="28"/>
      <c r="AK11" s="28"/>
    </row>
    <row r="13" spans="1:42" ht="45" x14ac:dyDescent="0.25">
      <c r="G13" s="589" t="s">
        <v>561</v>
      </c>
      <c r="H13" s="590"/>
      <c r="I13" s="590"/>
      <c r="J13" s="591"/>
      <c r="K13" s="255" t="s">
        <v>558</v>
      </c>
      <c r="L13" s="478" t="s">
        <v>559</v>
      </c>
      <c r="M13" s="256" t="s">
        <v>563</v>
      </c>
      <c r="N13" s="256" t="s">
        <v>564</v>
      </c>
      <c r="O13" s="257" t="s">
        <v>562</v>
      </c>
      <c r="Q13" s="256" t="s">
        <v>563</v>
      </c>
      <c r="R13" s="256" t="s">
        <v>564</v>
      </c>
      <c r="S13" s="257" t="s">
        <v>562</v>
      </c>
      <c r="U13" s="256" t="s">
        <v>563</v>
      </c>
      <c r="V13" s="256" t="s">
        <v>695</v>
      </c>
      <c r="W13" s="256" t="s">
        <v>564</v>
      </c>
      <c r="X13" s="257" t="s">
        <v>562</v>
      </c>
      <c r="Y13" s="340" t="s">
        <v>696</v>
      </c>
      <c r="AA13" s="256" t="s">
        <v>563</v>
      </c>
      <c r="AB13" s="256" t="s">
        <v>695</v>
      </c>
      <c r="AC13" s="256" t="s">
        <v>699</v>
      </c>
      <c r="AD13" s="256" t="s">
        <v>564</v>
      </c>
      <c r="AE13" s="257" t="s">
        <v>562</v>
      </c>
      <c r="AF13" s="340" t="s">
        <v>696</v>
      </c>
    </row>
    <row r="14" spans="1:42" x14ac:dyDescent="0.25">
      <c r="G14" s="688" t="s">
        <v>348</v>
      </c>
      <c r="H14" s="689"/>
      <c r="I14" s="689"/>
      <c r="J14" s="690"/>
      <c r="K14" s="286" t="str">
        <f>+I7</f>
        <v>&gt;=80%</v>
      </c>
      <c r="L14" s="286">
        <v>0.3</v>
      </c>
      <c r="M14" s="286" t="e">
        <f>+P7</f>
        <v>#DIV/0!</v>
      </c>
      <c r="N14" s="286" t="str">
        <f>IFERROR(IF(M14&gt;=0.8,1,(M14*100%)/0.8),"-")</f>
        <v>-</v>
      </c>
      <c r="O14" s="275" t="str">
        <f>IFERROR(+IF(N14=100%,L14,(+N14*L14)),"-")</f>
        <v>-</v>
      </c>
      <c r="Q14" s="286" t="e">
        <f>+T7</f>
        <v>#DIV/0!</v>
      </c>
      <c r="R14" s="286" t="str">
        <f>IFERROR(IF(Q14&gt;=0.8,1,(Q14*100%)/0.8),"-")</f>
        <v>-</v>
      </c>
      <c r="S14" s="275" t="str">
        <f>IFERROR(+IF(R14=100%,L14,(+R14*L14)),"-")</f>
        <v>-</v>
      </c>
      <c r="U14" s="286" t="e">
        <f>+X7</f>
        <v>#DIV/0!</v>
      </c>
      <c r="V14" s="286" t="e">
        <f>+Q14</f>
        <v>#DIV/0!</v>
      </c>
      <c r="W14" s="286" t="str">
        <f>IFERROR(IF(AVERAGE(U14,V14)&gt;=0.8,1,(AVERAGE(U14,V14)*100%)/0.8),"-")</f>
        <v>-</v>
      </c>
      <c r="X14" s="275" t="str">
        <f>IFERROR(+IF(W14=100%,L14,(+W14*L14)),"-")</f>
        <v>-</v>
      </c>
      <c r="Y14" s="623">
        <f>+X17</f>
        <v>0</v>
      </c>
      <c r="AA14" s="286" t="e">
        <f>+AB7</f>
        <v>#DIV/0!</v>
      </c>
      <c r="AB14" s="286" t="e">
        <f>+Q14</f>
        <v>#DIV/0!</v>
      </c>
      <c r="AC14" s="286" t="e">
        <f>+U14</f>
        <v>#DIV/0!</v>
      </c>
      <c r="AD14" s="286" t="str">
        <f>IFERROR(IF(AVERAGE(AA14,AC14)&gt;=0.8,1,(AVERAGE(AA14:AC14)*100%)/0.8),"-")</f>
        <v>-</v>
      </c>
      <c r="AE14" s="275" t="str">
        <f>IFERROR(+IF(AD14=100%,L14,(+AD14*L14)),"-")</f>
        <v>-</v>
      </c>
      <c r="AF14" s="623">
        <f>+AE17</f>
        <v>0</v>
      </c>
    </row>
    <row r="15" spans="1:42" x14ac:dyDescent="0.25">
      <c r="G15" s="704" t="s">
        <v>799</v>
      </c>
      <c r="H15" s="689"/>
      <c r="I15" s="689"/>
      <c r="J15" s="690"/>
      <c r="K15" s="489">
        <f>+I8</f>
        <v>1</v>
      </c>
      <c r="L15" s="286">
        <v>0.2</v>
      </c>
      <c r="M15" s="286" t="e">
        <f>+P8</f>
        <v>#DIV/0!</v>
      </c>
      <c r="N15" s="286" t="str">
        <f>IFERROR(IF(M15&gt;=1,1,(M15*100%)/1),"-")</f>
        <v>-</v>
      </c>
      <c r="O15" s="275" t="str">
        <f>IFERROR(+IF(N15=100%,L15,(+N15*L15)),"-")</f>
        <v>-</v>
      </c>
      <c r="Q15" s="286" t="e">
        <f>+T8</f>
        <v>#DIV/0!</v>
      </c>
      <c r="R15" s="286" t="str">
        <f>IFERROR(IF(Q15&gt;=1,1,(Q15*100%)/1),"-")</f>
        <v>-</v>
      </c>
      <c r="S15" s="259" t="str">
        <f>+IFERROR(IF(R15=100%,L15,(+R15*L15)),"-")</f>
        <v>-</v>
      </c>
      <c r="U15" s="286" t="e">
        <f>+X8</f>
        <v>#DIV/0!</v>
      </c>
      <c r="V15" s="286" t="e">
        <f>+Q15</f>
        <v>#DIV/0!</v>
      </c>
      <c r="W15" s="286" t="str">
        <f>IFERROR(IF(U15&gt;=1,1,(U15*100%)/1),"-")</f>
        <v>-</v>
      </c>
      <c r="X15" s="275" t="str">
        <f>IFERROR(+IF(W15=100%,L15,(+W15*L15)),"-")</f>
        <v>-</v>
      </c>
      <c r="Y15" s="623"/>
      <c r="AA15" s="286" t="e">
        <f>+AB8</f>
        <v>#DIV/0!</v>
      </c>
      <c r="AB15" s="286" t="str">
        <f>IFERROR(Q15," ")</f>
        <v xml:space="preserve"> </v>
      </c>
      <c r="AC15" s="286"/>
      <c r="AD15" s="286" t="str">
        <f>IFERROR(IF(AVERAGE(AA15:AC15)&gt;=0.8,1,(AVERAGE(AA15:AC15)*100%)/0.8),"-")</f>
        <v>-</v>
      </c>
      <c r="AE15" s="275" t="str">
        <f>IFERROR(+IF(AD15=100%,L15,(+AD15*L15)),"-")</f>
        <v>-</v>
      </c>
      <c r="AF15" s="623"/>
    </row>
    <row r="16" spans="1:42" x14ac:dyDescent="0.25">
      <c r="G16" s="688" t="s">
        <v>349</v>
      </c>
      <c r="H16" s="689"/>
      <c r="I16" s="689"/>
      <c r="J16" s="690"/>
      <c r="K16" s="286" t="str">
        <f>+I9</f>
        <v>&gt;=80%</v>
      </c>
      <c r="L16" s="286">
        <v>0.3</v>
      </c>
      <c r="M16" s="286" t="e">
        <f>+P9</f>
        <v>#DIV/0!</v>
      </c>
      <c r="N16" s="286" t="str">
        <f>IFERROR(IF(M16&gt;=0.8,1,(M16*100%)/0.8),"-")</f>
        <v>-</v>
      </c>
      <c r="O16" s="275" t="str">
        <f>IFERROR(+IF(N16=100%,L16,(+N16*L16)),"-")</f>
        <v>-</v>
      </c>
      <c r="Q16" s="286" t="e">
        <f>+T9</f>
        <v>#DIV/0!</v>
      </c>
      <c r="R16" s="286" t="str">
        <f>IFERROR(IF(Q16&gt;=0.8,1,(Q16*100%)/0.8),"-")</f>
        <v>-</v>
      </c>
      <c r="S16" s="259" t="str">
        <f>+IFERROR(IF(R16=100%,L16,(+R16*L16)),"-")</f>
        <v>-</v>
      </c>
      <c r="U16" s="286" t="e">
        <f>+X9</f>
        <v>#DIV/0!</v>
      </c>
      <c r="V16" s="286" t="e">
        <f>+Q16</f>
        <v>#DIV/0!</v>
      </c>
      <c r="W16" s="286" t="str">
        <f>IFERROR(IF(AVERAGE(U16,V16)&gt;=0.8,1,(AVERAGE(U16,V16)*100%)/0.8),"-")</f>
        <v>-</v>
      </c>
      <c r="X16" s="275" t="str">
        <f>IFERROR(+IF(W16=100%,L16,(+W16*L16)),"-")</f>
        <v>-</v>
      </c>
      <c r="Y16" s="623"/>
      <c r="AA16" s="286" t="e">
        <f>+AB9</f>
        <v>#DIV/0!</v>
      </c>
      <c r="AB16" s="286" t="e">
        <f>+Q16</f>
        <v>#DIV/0!</v>
      </c>
      <c r="AC16" s="286" t="e">
        <f>+U16</f>
        <v>#DIV/0!</v>
      </c>
      <c r="AD16" s="286" t="str">
        <f>IFERROR(IF(AVERAGE(AA16,AC16)&gt;=0.8,1,(AVERAGE(AA16:AC16)*100%)/0.8),"-")</f>
        <v>-</v>
      </c>
      <c r="AE16" s="275" t="str">
        <f>IFERROR(+IF(AD16=100%,L16,(+AD16*L16)),"-")</f>
        <v>-</v>
      </c>
      <c r="AF16" s="623"/>
    </row>
    <row r="17" spans="12:31" ht="18.75" x14ac:dyDescent="0.3">
      <c r="L17" s="287">
        <f>SUM(L14:L16)</f>
        <v>0.8</v>
      </c>
      <c r="O17" s="317">
        <f>IFERROR(SUM(O14:O16),"-")</f>
        <v>0</v>
      </c>
      <c r="S17" s="317">
        <f>IFERROR(SUM(S14:S16),"-")</f>
        <v>0</v>
      </c>
      <c r="X17" s="317">
        <f>IFERROR(SUM(X14:X16),"-")</f>
        <v>0</v>
      </c>
      <c r="AE17" s="317">
        <f>IFERROR(SUM(AE14:AE16),"-")</f>
        <v>0</v>
      </c>
    </row>
  </sheetData>
  <mergeCells count="51">
    <mergeCell ref="AN1:AP2"/>
    <mergeCell ref="A2:B3"/>
    <mergeCell ref="C2:AM3"/>
    <mergeCell ref="AN3:AP3"/>
    <mergeCell ref="X5:X6"/>
    <mergeCell ref="A5:A6"/>
    <mergeCell ref="B5:B6"/>
    <mergeCell ref="D5:D6"/>
    <mergeCell ref="A1:B1"/>
    <mergeCell ref="C1:AM1"/>
    <mergeCell ref="AC5:AG5"/>
    <mergeCell ref="AH5:AK5"/>
    <mergeCell ref="V5:V6"/>
    <mergeCell ref="W5:W6"/>
    <mergeCell ref="Z5:Z6"/>
    <mergeCell ref="AA5:AA6"/>
    <mergeCell ref="AB5:AB6"/>
    <mergeCell ref="L5:L6"/>
    <mergeCell ref="T5:T6"/>
    <mergeCell ref="P5:P6"/>
    <mergeCell ref="A4:D4"/>
    <mergeCell ref="C5:C6"/>
    <mergeCell ref="H5:H6"/>
    <mergeCell ref="I5:I6"/>
    <mergeCell ref="G5:G6"/>
    <mergeCell ref="E5:E6"/>
    <mergeCell ref="F5:F6"/>
    <mergeCell ref="J5:J6"/>
    <mergeCell ref="R5:R6"/>
    <mergeCell ref="S5:S6"/>
    <mergeCell ref="K5:K6"/>
    <mergeCell ref="N5:N6"/>
    <mergeCell ref="O5:O6"/>
    <mergeCell ref="A7:A9"/>
    <mergeCell ref="B7:B9"/>
    <mergeCell ref="C7:C9"/>
    <mergeCell ref="F7:F9"/>
    <mergeCell ref="D7:D9"/>
    <mergeCell ref="E7:E9"/>
    <mergeCell ref="AG10:AG11"/>
    <mergeCell ref="AF14:AF16"/>
    <mergeCell ref="G13:J13"/>
    <mergeCell ref="G14:J14"/>
    <mergeCell ref="G15:J15"/>
    <mergeCell ref="G16:J16"/>
    <mergeCell ref="Y14:Y16"/>
    <mergeCell ref="AB10:AB11"/>
    <mergeCell ref="T10:T11"/>
    <mergeCell ref="X10:X11"/>
    <mergeCell ref="A10:L10"/>
    <mergeCell ref="P10:P11"/>
  </mergeCells>
  <conditionalFormatting sqref="AC7:AG9 AG10">
    <cfRule type="cellIs" dxfId="41" priority="1" operator="lessThan">
      <formula>0.6</formula>
    </cfRule>
    <cfRule type="cellIs" dxfId="40" priority="2" operator="between">
      <formula>60%</formula>
      <formula>79%</formula>
    </cfRule>
    <cfRule type="cellIs" dxfId="39" priority="3" operator="between">
      <formula>80%</formula>
      <formula>100%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3"/>
  <dimension ref="A1:AK20"/>
  <sheetViews>
    <sheetView topLeftCell="B6" zoomScale="66" zoomScaleNormal="66" workbookViewId="0">
      <selection activeCell="B7" sqref="B7:B11"/>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30.7109375" customWidth="1"/>
    <col min="8" max="8" width="25.28515625" customWidth="1"/>
    <col min="9" max="11" width="14.42578125" customWidth="1"/>
    <col min="12" max="12" width="16.7109375" customWidth="1"/>
    <col min="13" max="13" width="19.42578125" customWidth="1"/>
    <col min="14" max="14" width="42" customWidth="1"/>
    <col min="15" max="16" width="22.28515625" customWidth="1"/>
    <col min="17" max="17" width="19.42578125" customWidth="1"/>
    <col min="18" max="18" width="42" customWidth="1"/>
    <col min="19" max="20" width="22.28515625" customWidth="1"/>
    <col min="21" max="21" width="19.42578125" customWidth="1"/>
    <col min="22" max="22" width="29" customWidth="1"/>
    <col min="23" max="24" width="22.28515625" customWidth="1"/>
    <col min="25" max="25" width="19.42578125" customWidth="1"/>
    <col min="26" max="26" width="27.28515625" customWidth="1"/>
    <col min="27" max="28" width="22.28515625" customWidth="1"/>
    <col min="29" max="33" width="17.7109375" customWidth="1"/>
    <col min="34" max="37" width="26.5703125" customWidth="1"/>
  </cols>
  <sheetData>
    <row r="1" spans="1:37"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15.75" thickBot="1" x14ac:dyDescent="0.3">
      <c r="A4" s="572" t="s">
        <v>193</v>
      </c>
      <c r="B4" s="572"/>
      <c r="C4" s="572"/>
      <c r="D4" s="572"/>
      <c r="E4" s="28"/>
      <c r="F4" s="36"/>
      <c r="G4" s="28"/>
      <c r="H4" s="28"/>
      <c r="I4" s="28"/>
      <c r="J4" s="28"/>
      <c r="K4" s="28"/>
      <c r="L4" s="28"/>
      <c r="M4" s="54"/>
      <c r="N4" s="28"/>
      <c r="O4" s="28"/>
      <c r="P4" s="28"/>
      <c r="Q4" s="54"/>
      <c r="R4" s="28"/>
      <c r="S4" s="28"/>
      <c r="T4" s="28"/>
      <c r="U4" s="54"/>
      <c r="V4" s="28"/>
      <c r="W4" s="28"/>
      <c r="X4" s="28"/>
      <c r="Y4" s="54"/>
      <c r="Z4" s="28"/>
      <c r="AA4" s="28"/>
      <c r="AB4" s="28"/>
      <c r="AC4" s="28"/>
      <c r="AD4" s="28"/>
      <c r="AE4" s="28"/>
      <c r="AF4" s="28"/>
      <c r="AG4" s="28"/>
      <c r="AH4" s="28"/>
      <c r="AI4" s="28"/>
      <c r="AJ4" s="28"/>
      <c r="AK4" s="28"/>
    </row>
    <row r="5" spans="1:37" ht="57" customHeight="1" x14ac:dyDescent="0.25">
      <c r="A5" s="513" t="s">
        <v>1</v>
      </c>
      <c r="B5" s="513" t="s">
        <v>3</v>
      </c>
      <c r="C5" s="513" t="s">
        <v>194</v>
      </c>
      <c r="D5" s="513" t="s">
        <v>195</v>
      </c>
      <c r="E5" s="513" t="s">
        <v>196</v>
      </c>
      <c r="F5" s="710" t="s">
        <v>781</v>
      </c>
      <c r="G5" s="513" t="s">
        <v>228</v>
      </c>
      <c r="H5" s="513" t="s">
        <v>227</v>
      </c>
      <c r="I5" s="513" t="s">
        <v>8</v>
      </c>
      <c r="J5" s="513" t="s">
        <v>481</v>
      </c>
      <c r="K5" s="513" t="s">
        <v>501</v>
      </c>
      <c r="L5" s="713" t="s">
        <v>9</v>
      </c>
      <c r="M5" s="177" t="s">
        <v>367</v>
      </c>
      <c r="N5" s="655" t="s">
        <v>414</v>
      </c>
      <c r="O5" s="573" t="s">
        <v>416</v>
      </c>
      <c r="P5" s="563" t="s">
        <v>776</v>
      </c>
      <c r="Q5" s="177" t="s">
        <v>367</v>
      </c>
      <c r="R5" s="655" t="s">
        <v>414</v>
      </c>
      <c r="S5" s="573" t="s">
        <v>416</v>
      </c>
      <c r="T5" s="563" t="s">
        <v>474</v>
      </c>
      <c r="U5" s="177" t="s">
        <v>367</v>
      </c>
      <c r="V5" s="655" t="s">
        <v>414</v>
      </c>
      <c r="W5" s="573" t="s">
        <v>416</v>
      </c>
      <c r="X5" s="563" t="s">
        <v>477</v>
      </c>
      <c r="Y5" s="177" t="s">
        <v>367</v>
      </c>
      <c r="Z5" s="655" t="s">
        <v>414</v>
      </c>
      <c r="AA5" s="573" t="s">
        <v>416</v>
      </c>
      <c r="AB5" s="563" t="s">
        <v>479</v>
      </c>
      <c r="AC5" s="626" t="s">
        <v>11</v>
      </c>
      <c r="AD5" s="627"/>
      <c r="AE5" s="627"/>
      <c r="AF5" s="627"/>
      <c r="AG5" s="628"/>
      <c r="AH5" s="569" t="s">
        <v>539</v>
      </c>
      <c r="AI5" s="570"/>
      <c r="AJ5" s="570"/>
      <c r="AK5" s="571"/>
    </row>
    <row r="6" spans="1:37" ht="57" customHeight="1" x14ac:dyDescent="0.25">
      <c r="A6" s="514"/>
      <c r="B6" s="514"/>
      <c r="C6" s="514"/>
      <c r="D6" s="514"/>
      <c r="E6" s="514"/>
      <c r="F6" s="582"/>
      <c r="G6" s="514"/>
      <c r="H6" s="514"/>
      <c r="I6" s="514"/>
      <c r="J6" s="514"/>
      <c r="K6" s="514"/>
      <c r="L6" s="647"/>
      <c r="M6" s="141" t="s">
        <v>775</v>
      </c>
      <c r="N6" s="656"/>
      <c r="O6" s="574"/>
      <c r="P6" s="564"/>
      <c r="Q6" s="141" t="s">
        <v>298</v>
      </c>
      <c r="R6" s="656"/>
      <c r="S6" s="574"/>
      <c r="T6" s="564"/>
      <c r="U6" s="141" t="s">
        <v>287</v>
      </c>
      <c r="V6" s="656"/>
      <c r="W6" s="574"/>
      <c r="X6" s="564"/>
      <c r="Y6" s="141" t="s">
        <v>312</v>
      </c>
      <c r="Z6" s="656"/>
      <c r="AA6" s="574"/>
      <c r="AB6" s="564"/>
      <c r="AC6" s="154" t="s">
        <v>368</v>
      </c>
      <c r="AD6" s="5" t="s">
        <v>199</v>
      </c>
      <c r="AE6" s="5" t="s">
        <v>200</v>
      </c>
      <c r="AF6" s="5" t="s">
        <v>201</v>
      </c>
      <c r="AG6" s="155" t="s">
        <v>20</v>
      </c>
      <c r="AH6" s="159" t="s">
        <v>202</v>
      </c>
      <c r="AI6" s="31" t="s">
        <v>203</v>
      </c>
      <c r="AJ6" s="31" t="s">
        <v>204</v>
      </c>
      <c r="AK6" s="160" t="s">
        <v>205</v>
      </c>
    </row>
    <row r="7" spans="1:37" ht="57.75" customHeight="1" x14ac:dyDescent="0.25">
      <c r="A7" s="699" t="s">
        <v>343</v>
      </c>
      <c r="B7" s="699" t="s">
        <v>344</v>
      </c>
      <c r="C7" s="699" t="s">
        <v>362</v>
      </c>
      <c r="D7" s="699" t="s">
        <v>363</v>
      </c>
      <c r="E7" s="699" t="s">
        <v>352</v>
      </c>
      <c r="F7" s="708">
        <v>0.8</v>
      </c>
      <c r="G7" s="101" t="s">
        <v>682</v>
      </c>
      <c r="H7" s="74" t="s">
        <v>683</v>
      </c>
      <c r="I7" s="65">
        <v>0.9</v>
      </c>
      <c r="J7" s="65" t="s">
        <v>485</v>
      </c>
      <c r="K7" s="227" t="s">
        <v>622</v>
      </c>
      <c r="L7" s="176" t="s">
        <v>366</v>
      </c>
      <c r="M7" s="142"/>
      <c r="N7" s="55"/>
      <c r="O7" s="55"/>
      <c r="P7" s="207">
        <f>+M7</f>
        <v>0</v>
      </c>
      <c r="Q7" s="142"/>
      <c r="R7" s="55"/>
      <c r="S7" s="55"/>
      <c r="T7" s="207">
        <f>+Q7</f>
        <v>0</v>
      </c>
      <c r="U7" s="142"/>
      <c r="V7" s="55"/>
      <c r="W7" s="55"/>
      <c r="X7" s="207">
        <f>+U7</f>
        <v>0</v>
      </c>
      <c r="Y7" s="142"/>
      <c r="Z7" s="55"/>
      <c r="AA7" s="55"/>
      <c r="AB7" s="207">
        <f>+Y7</f>
        <v>0</v>
      </c>
      <c r="AC7" s="25">
        <f>IFERROR(IF(P7&gt;=0.9,1,(P7*100%)/0.9),"-")</f>
        <v>0</v>
      </c>
      <c r="AD7" s="25">
        <f>IFERROR(IF(T7&gt;=0.9,1,(T7*100%)/0.9),"-")</f>
        <v>0</v>
      </c>
      <c r="AE7" s="25">
        <f>IFERROR(IF(X7&gt;=0.9,1,(X7*100%)/0.9),"-")</f>
        <v>0</v>
      </c>
      <c r="AF7" s="25">
        <f>IFERROR(IF(AB7&gt;=0.9,1,(AB7*100%)/0.9),"-")</f>
        <v>0</v>
      </c>
      <c r="AG7" s="157">
        <f>IFERROR(AVERAGE(AC7:AF7),"-")</f>
        <v>0</v>
      </c>
      <c r="AH7" s="161"/>
      <c r="AI7" s="33"/>
      <c r="AJ7" s="34"/>
      <c r="AK7" s="162"/>
    </row>
    <row r="8" spans="1:37" ht="48.75" customHeight="1" x14ac:dyDescent="0.25">
      <c r="A8" s="677"/>
      <c r="B8" s="677"/>
      <c r="C8" s="677"/>
      <c r="D8" s="677"/>
      <c r="E8" s="677"/>
      <c r="F8" s="709"/>
      <c r="G8" s="101" t="s">
        <v>684</v>
      </c>
      <c r="H8" s="74" t="s">
        <v>685</v>
      </c>
      <c r="I8" s="65">
        <v>0.9</v>
      </c>
      <c r="J8" s="65" t="s">
        <v>485</v>
      </c>
      <c r="K8" s="227" t="s">
        <v>622</v>
      </c>
      <c r="L8" s="176" t="s">
        <v>366</v>
      </c>
      <c r="M8" s="142"/>
      <c r="N8" s="55"/>
      <c r="O8" s="7"/>
      <c r="P8" s="207">
        <f>+M8</f>
        <v>0</v>
      </c>
      <c r="Q8" s="142"/>
      <c r="R8" s="55"/>
      <c r="S8" s="7"/>
      <c r="T8" s="207">
        <f>+Q8</f>
        <v>0</v>
      </c>
      <c r="U8" s="142"/>
      <c r="V8" s="55"/>
      <c r="W8" s="7"/>
      <c r="X8" s="207">
        <f>+U8</f>
        <v>0</v>
      </c>
      <c r="Y8" s="142"/>
      <c r="Z8" s="55"/>
      <c r="AA8" s="7"/>
      <c r="AB8" s="207">
        <f>+Y8</f>
        <v>0</v>
      </c>
      <c r="AC8" s="25">
        <f>IFERROR(IF(P8&gt;=0.9,1,(P8*100%)/0.9),"-")</f>
        <v>0</v>
      </c>
      <c r="AD8" s="25">
        <f>IFERROR(IF(T8&gt;=0.9,1,(T8*100%)/0.9),"-")</f>
        <v>0</v>
      </c>
      <c r="AE8" s="25">
        <f>IFERROR(IF(X8&gt;=0.9,1,(X8*100%)/0.9),"-")</f>
        <v>0</v>
      </c>
      <c r="AF8" s="25">
        <f>IFERROR(IF(AB8&gt;=0.9,1,(AB8*100%)/0.9),"-")</f>
        <v>0</v>
      </c>
      <c r="AG8" s="157">
        <f>IFERROR(AVERAGE(AC8:AF8),"-")</f>
        <v>0</v>
      </c>
      <c r="AH8" s="163"/>
      <c r="AI8" s="29"/>
      <c r="AJ8" s="27"/>
      <c r="AK8" s="164"/>
    </row>
    <row r="9" spans="1:37" ht="51.75" customHeight="1" x14ac:dyDescent="0.25">
      <c r="A9" s="677"/>
      <c r="B9" s="677"/>
      <c r="C9" s="677"/>
      <c r="D9" s="677"/>
      <c r="E9" s="677"/>
      <c r="F9" s="709"/>
      <c r="G9" s="101" t="s">
        <v>365</v>
      </c>
      <c r="H9" s="74" t="s">
        <v>364</v>
      </c>
      <c r="I9" s="65">
        <v>0.9</v>
      </c>
      <c r="J9" s="65" t="s">
        <v>485</v>
      </c>
      <c r="K9" s="227" t="s">
        <v>622</v>
      </c>
      <c r="L9" s="176" t="s">
        <v>366</v>
      </c>
      <c r="M9" s="142"/>
      <c r="N9" s="55"/>
      <c r="O9" s="7"/>
      <c r="P9" s="207">
        <f>+M9</f>
        <v>0</v>
      </c>
      <c r="Q9" s="142"/>
      <c r="R9" s="55"/>
      <c r="S9" s="7"/>
      <c r="T9" s="207">
        <f>+Q9</f>
        <v>0</v>
      </c>
      <c r="U9" s="142"/>
      <c r="V9" s="55"/>
      <c r="W9" s="7"/>
      <c r="X9" s="207">
        <f>+U9</f>
        <v>0</v>
      </c>
      <c r="Y9" s="142"/>
      <c r="Z9" s="55"/>
      <c r="AA9" s="7"/>
      <c r="AB9" s="207">
        <f>+Y9</f>
        <v>0</v>
      </c>
      <c r="AC9" s="25">
        <f>IFERROR(IF(P9&gt;=0.9,1,(P9*100%)/0.9),"-")</f>
        <v>0</v>
      </c>
      <c r="AD9" s="25">
        <f>IFERROR(IF(T9&gt;=0.9,1,(T9*100%)/0.9),"-")</f>
        <v>0</v>
      </c>
      <c r="AE9" s="25">
        <f>IFERROR(IF(X9&gt;=0.9,1,(X9*100%)/0.9),"-")</f>
        <v>0</v>
      </c>
      <c r="AF9" s="25">
        <f>IFERROR(IF(AB9&gt;=0.9,1,(AB9*100%)/0.9),"-")</f>
        <v>0</v>
      </c>
      <c r="AG9" s="157">
        <f t="shared" ref="AG9:AG11" si="0">IFERROR(AVERAGE(AC9:AF9),"-")</f>
        <v>0</v>
      </c>
      <c r="AH9" s="163"/>
      <c r="AI9" s="29"/>
      <c r="AJ9" s="27"/>
      <c r="AK9" s="164"/>
    </row>
    <row r="10" spans="1:37" ht="62.25" customHeight="1" x14ac:dyDescent="0.25">
      <c r="A10" s="677"/>
      <c r="B10" s="677"/>
      <c r="C10" s="677"/>
      <c r="D10" s="677"/>
      <c r="E10" s="677"/>
      <c r="F10" s="709"/>
      <c r="G10" s="101" t="s">
        <v>372</v>
      </c>
      <c r="H10" s="74" t="s">
        <v>373</v>
      </c>
      <c r="I10" s="65" t="s">
        <v>651</v>
      </c>
      <c r="J10" s="65" t="s">
        <v>494</v>
      </c>
      <c r="K10" s="227" t="s">
        <v>623</v>
      </c>
      <c r="L10" s="176" t="s">
        <v>366</v>
      </c>
      <c r="M10" s="142"/>
      <c r="N10" s="55"/>
      <c r="O10" s="7"/>
      <c r="P10" s="207">
        <f>+M10</f>
        <v>0</v>
      </c>
      <c r="Q10" s="142"/>
      <c r="R10" s="55"/>
      <c r="S10" s="7"/>
      <c r="T10" s="207">
        <f>+Q10</f>
        <v>0</v>
      </c>
      <c r="U10" s="142"/>
      <c r="V10" s="55"/>
      <c r="W10" s="7"/>
      <c r="X10" s="207">
        <f>+U10</f>
        <v>0</v>
      </c>
      <c r="Y10" s="142"/>
      <c r="Z10" s="55"/>
      <c r="AA10" s="7"/>
      <c r="AB10" s="207">
        <f>+Y10</f>
        <v>0</v>
      </c>
      <c r="AC10" s="25">
        <f>IFERROR(IF(P10&gt;=0.9,1,(P10*100%)/0.9),"-")</f>
        <v>0</v>
      </c>
      <c r="AD10" s="25">
        <f>IFERROR(IF(T10&gt;=0.9,1,(T10*100%)/0.9),"-")</f>
        <v>0</v>
      </c>
      <c r="AE10" s="25">
        <f>IFERROR(IF(X10&gt;=0.9,1,(X10*100%)/0.9),"-")</f>
        <v>0</v>
      </c>
      <c r="AF10" s="25">
        <f>IFERROR(IF(AB10&gt;=0.9,1,(AB10*100%)/0.9),"-")</f>
        <v>0</v>
      </c>
      <c r="AG10" s="157">
        <f t="shared" si="0"/>
        <v>0</v>
      </c>
      <c r="AH10" s="163"/>
      <c r="AI10" s="29"/>
      <c r="AJ10" s="27"/>
      <c r="AK10" s="164"/>
    </row>
    <row r="11" spans="1:37" ht="60.75" customHeight="1" x14ac:dyDescent="0.25">
      <c r="A11" s="677"/>
      <c r="B11" s="677"/>
      <c r="C11" s="677"/>
      <c r="D11" s="677"/>
      <c r="E11" s="677"/>
      <c r="F11" s="709"/>
      <c r="G11" s="101" t="s">
        <v>374</v>
      </c>
      <c r="H11" s="74" t="s">
        <v>119</v>
      </c>
      <c r="I11" s="65" t="s">
        <v>651</v>
      </c>
      <c r="J11" s="65" t="s">
        <v>494</v>
      </c>
      <c r="K11" s="227" t="s">
        <v>623</v>
      </c>
      <c r="L11" s="176" t="s">
        <v>366</v>
      </c>
      <c r="M11" s="142"/>
      <c r="N11" s="55"/>
      <c r="O11" s="7"/>
      <c r="P11" s="207">
        <f>+M11</f>
        <v>0</v>
      </c>
      <c r="Q11" s="142"/>
      <c r="R11" s="55"/>
      <c r="S11" s="7"/>
      <c r="T11" s="207">
        <f>+Q11</f>
        <v>0</v>
      </c>
      <c r="U11" s="376"/>
      <c r="V11" s="55"/>
      <c r="W11" s="7"/>
      <c r="X11" s="207">
        <f>+U11</f>
        <v>0</v>
      </c>
      <c r="Y11" s="142"/>
      <c r="Z11" s="55"/>
      <c r="AA11" s="7"/>
      <c r="AB11" s="207">
        <f>+Y11</f>
        <v>0</v>
      </c>
      <c r="AC11" s="25">
        <f>IFERROR(IF(P11&gt;=0.9,1,(P11*100%)/0.9),"-")</f>
        <v>0</v>
      </c>
      <c r="AD11" s="25">
        <f>IFERROR(IF(T11&gt;=0.9,1,(T11*100%)/0.9),"-")</f>
        <v>0</v>
      </c>
      <c r="AE11" s="25">
        <f>IFERROR(IF(X11&gt;=0.9,1,(X11*100%)/0.9),"-")</f>
        <v>0</v>
      </c>
      <c r="AF11" s="25">
        <f>IFERROR(IF(AB11&gt;=0.9,1,(AB11*100%)/0.9),"-")</f>
        <v>0</v>
      </c>
      <c r="AG11" s="157">
        <f t="shared" si="0"/>
        <v>0</v>
      </c>
      <c r="AH11" s="163"/>
      <c r="AI11" s="29"/>
      <c r="AJ11" s="27"/>
      <c r="AK11" s="193"/>
    </row>
    <row r="12" spans="1:37" ht="26.25" thickBot="1" x14ac:dyDescent="0.3">
      <c r="A12" s="711" t="s">
        <v>293</v>
      </c>
      <c r="B12" s="711"/>
      <c r="C12" s="711"/>
      <c r="D12" s="711"/>
      <c r="E12" s="711"/>
      <c r="F12" s="711"/>
      <c r="G12" s="711"/>
      <c r="H12" s="711"/>
      <c r="I12" s="711"/>
      <c r="J12" s="711"/>
      <c r="K12" s="712"/>
      <c r="L12" s="712"/>
      <c r="M12" s="308" t="str">
        <f>+IFERROR(AVERAGE(M7:M11),"-")</f>
        <v>-</v>
      </c>
      <c r="N12" s="147"/>
      <c r="O12" s="118"/>
      <c r="P12" s="619"/>
      <c r="Q12" s="308" t="str">
        <f>+IFERROR(AVERAGE(Q7:Q11),"-")</f>
        <v>-</v>
      </c>
      <c r="R12" s="147"/>
      <c r="S12" s="118"/>
      <c r="T12" s="619"/>
      <c r="U12" s="377" t="str">
        <f>+IFERROR(AVERAGE(U7:U11),"-")</f>
        <v>-</v>
      </c>
      <c r="V12" s="147"/>
      <c r="W12" s="118"/>
      <c r="X12" s="619">
        <f>IFERROR(AVERAGE(X7:X11),"-")</f>
        <v>0</v>
      </c>
      <c r="Y12" s="293" t="str">
        <f>+IFERROR(AVERAGE(Y7:Y11),"-")</f>
        <v>-</v>
      </c>
      <c r="Z12" s="147"/>
      <c r="AA12" s="118"/>
      <c r="AB12" s="684">
        <f>IFERROR(AVERAGE(AB7:AB11),"-")</f>
        <v>0</v>
      </c>
      <c r="AC12" s="170">
        <f t="shared" ref="AC12:AF12" si="1">IFERROR(AVERAGE(AC7:AC11),"-")</f>
        <v>0</v>
      </c>
      <c r="AD12" s="171">
        <f>IFERROR(AVERAGE(AD7:AD11),"-")</f>
        <v>0</v>
      </c>
      <c r="AE12" s="171">
        <f t="shared" si="1"/>
        <v>0</v>
      </c>
      <c r="AF12" s="56">
        <f t="shared" si="1"/>
        <v>0</v>
      </c>
      <c r="AG12" s="667">
        <f>IFERROR(AVERAGE(AG7:AG11),"-")</f>
        <v>0</v>
      </c>
      <c r="AH12" s="165"/>
      <c r="AI12" s="166"/>
      <c r="AJ12" s="167"/>
      <c r="AK12" s="168"/>
    </row>
    <row r="13" spans="1:37" ht="27" thickBot="1" x14ac:dyDescent="0.3">
      <c r="A13" s="28"/>
      <c r="B13" s="28"/>
      <c r="C13" s="28"/>
      <c r="D13" s="28"/>
      <c r="E13" s="28"/>
      <c r="F13" s="36"/>
      <c r="G13" s="28"/>
      <c r="H13" s="28"/>
      <c r="I13" s="28"/>
      <c r="J13" s="28"/>
      <c r="K13" s="28"/>
      <c r="L13" s="28"/>
      <c r="M13" s="181"/>
      <c r="N13" s="180"/>
      <c r="O13" s="187" t="s">
        <v>796</v>
      </c>
      <c r="P13" s="620"/>
      <c r="Q13" s="181"/>
      <c r="R13" s="180"/>
      <c r="S13" s="187" t="s">
        <v>313</v>
      </c>
      <c r="T13" s="620"/>
      <c r="U13" s="179"/>
      <c r="V13" s="180"/>
      <c r="W13" s="480" t="s">
        <v>296</v>
      </c>
      <c r="X13" s="620"/>
      <c r="Y13" s="179"/>
      <c r="Z13" s="180"/>
      <c r="AA13" s="187" t="s">
        <v>297</v>
      </c>
      <c r="AB13" s="639"/>
      <c r="AC13" s="172"/>
      <c r="AD13" s="173"/>
      <c r="AE13" s="174"/>
      <c r="AF13" s="158" t="s">
        <v>294</v>
      </c>
      <c r="AG13" s="668"/>
      <c r="AH13" s="28"/>
      <c r="AI13" s="28"/>
      <c r="AJ13" s="28"/>
      <c r="AK13" s="28"/>
    </row>
    <row r="14" spans="1:37" ht="45" x14ac:dyDescent="0.25">
      <c r="G14" s="589" t="s">
        <v>561</v>
      </c>
      <c r="H14" s="590"/>
      <c r="I14" s="590"/>
      <c r="J14" s="591"/>
      <c r="K14" s="255" t="s">
        <v>558</v>
      </c>
      <c r="L14" s="273" t="s">
        <v>559</v>
      </c>
      <c r="M14" s="256" t="s">
        <v>563</v>
      </c>
      <c r="N14" s="256" t="s">
        <v>564</v>
      </c>
      <c r="O14" s="257" t="s">
        <v>562</v>
      </c>
      <c r="Q14" s="256" t="s">
        <v>563</v>
      </c>
      <c r="R14" s="256" t="s">
        <v>564</v>
      </c>
      <c r="S14" s="257" t="s">
        <v>562</v>
      </c>
      <c r="U14" s="256" t="s">
        <v>563</v>
      </c>
      <c r="V14" s="256" t="s">
        <v>564</v>
      </c>
      <c r="W14" s="257" t="s">
        <v>562</v>
      </c>
      <c r="X14" s="481"/>
      <c r="Y14" s="256" t="s">
        <v>563</v>
      </c>
      <c r="Z14" s="256" t="s">
        <v>779</v>
      </c>
      <c r="AA14" s="256" t="s">
        <v>695</v>
      </c>
      <c r="AB14" s="256" t="s">
        <v>699</v>
      </c>
      <c r="AC14" s="256" t="s">
        <v>564</v>
      </c>
      <c r="AD14" s="257" t="s">
        <v>562</v>
      </c>
    </row>
    <row r="15" spans="1:37" x14ac:dyDescent="0.25">
      <c r="G15" s="688" t="s">
        <v>682</v>
      </c>
      <c r="H15" s="689"/>
      <c r="I15" s="689"/>
      <c r="J15" s="690"/>
      <c r="K15" s="259">
        <f>+I7</f>
        <v>0.9</v>
      </c>
      <c r="L15" s="411">
        <v>0.1</v>
      </c>
      <c r="M15" s="286">
        <f>+P7</f>
        <v>0</v>
      </c>
      <c r="N15" s="286">
        <f t="shared" ref="N15:N16" si="2">IFERROR(IF(M15&gt;=0.9,1,(M15*100%)/0.9),"-")</f>
        <v>0</v>
      </c>
      <c r="O15" s="275">
        <f>IFERROR(+IF(N15=100%,H15,(+N15*H15)),"-")</f>
        <v>0</v>
      </c>
      <c r="Q15" s="286">
        <f>+T7</f>
        <v>0</v>
      </c>
      <c r="R15" s="286">
        <f>IFERROR((Q15*100%)/K15,"-")</f>
        <v>0</v>
      </c>
      <c r="S15" s="275">
        <f>IFERROR(+IF(R15=100%,L15,(+R15*L15)),"-")</f>
        <v>0</v>
      </c>
      <c r="U15" s="286">
        <f>+X7</f>
        <v>0</v>
      </c>
      <c r="V15" s="286" t="str">
        <f>IFERROR(IF(AVERAGE(U15,#REF!)&gt;=0.9,1,(AVERAGE(U15,#REF!)*100%)/0.9),"-")</f>
        <v>-</v>
      </c>
      <c r="W15" s="275" t="str">
        <f>IFERROR(+IF(V15=100%,L15,(+V15*L15)),"-")</f>
        <v>-</v>
      </c>
      <c r="X15" s="479"/>
      <c r="Y15" s="286">
        <f>+AB7</f>
        <v>0</v>
      </c>
      <c r="Z15" s="286">
        <f>+M15</f>
        <v>0</v>
      </c>
      <c r="AA15" s="286">
        <f>+Q15</f>
        <v>0</v>
      </c>
      <c r="AB15" s="286">
        <f>+U15</f>
        <v>0</v>
      </c>
      <c r="AC15" s="286">
        <f>IFERROR(IF(AVERAGE(Y15:AB15)&gt;=0.9,1,(AVERAGE(Y15:AB15)*100%)/0.9),"-")</f>
        <v>0</v>
      </c>
      <c r="AD15" s="275">
        <f>IFERROR(+IF(AC15=100%,L15,(+AC15*L15)),"-")</f>
        <v>0</v>
      </c>
    </row>
    <row r="16" spans="1:37" x14ac:dyDescent="0.25">
      <c r="G16" s="688" t="s">
        <v>684</v>
      </c>
      <c r="H16" s="689"/>
      <c r="I16" s="689"/>
      <c r="J16" s="690"/>
      <c r="K16" s="259">
        <f>+I8</f>
        <v>0.9</v>
      </c>
      <c r="L16" s="411">
        <v>0.1</v>
      </c>
      <c r="M16" s="286">
        <f>+P8</f>
        <v>0</v>
      </c>
      <c r="N16" s="286">
        <f t="shared" si="2"/>
        <v>0</v>
      </c>
      <c r="O16" s="275">
        <f>IFERROR(+IF(N16=100%,H16,(+N16*H16)),"-")</f>
        <v>0</v>
      </c>
      <c r="Q16" s="286">
        <f>+T8</f>
        <v>0</v>
      </c>
      <c r="R16" s="286">
        <f>IFERROR(IF(Q16&gt;=0.9,1,(Q16*100%)/0.9),"-")</f>
        <v>0</v>
      </c>
      <c r="S16" s="275">
        <f>IFERROR(+IF(R16=100%,L16,(+R16*L16)),"-")</f>
        <v>0</v>
      </c>
      <c r="U16" s="286">
        <f>+X8</f>
        <v>0</v>
      </c>
      <c r="V16" s="286" t="str">
        <f>IFERROR(IF(AVERAGE(U16,#REF!)&gt;=0.9,1,(AVERAGE(U16,#REF!)*100%)/0.9),"-")</f>
        <v>-</v>
      </c>
      <c r="W16" s="275" t="str">
        <f>IFERROR(+IF(V16=100%,L16,(+V16*L16)),"-")</f>
        <v>-</v>
      </c>
      <c r="X16" s="479"/>
      <c r="Y16" s="286">
        <f>+AB8</f>
        <v>0</v>
      </c>
      <c r="Z16" s="286">
        <f>+M16</f>
        <v>0</v>
      </c>
      <c r="AA16" s="286">
        <f>+Q16</f>
        <v>0</v>
      </c>
      <c r="AB16" s="286">
        <f>+U16</f>
        <v>0</v>
      </c>
      <c r="AC16" s="286">
        <f>IFERROR(IF(AVERAGE(Y16:AB16)&gt;=0.9,1,(AVERAGE(Y16:AB16)*100%)/0.9),"-")</f>
        <v>0</v>
      </c>
      <c r="AD16" s="275">
        <f>IFERROR(+IF(AC16=100%,L16,(+AC16*L16)),"-")</f>
        <v>0</v>
      </c>
    </row>
    <row r="17" spans="7:30" x14ac:dyDescent="0.25">
      <c r="G17" s="688" t="s">
        <v>365</v>
      </c>
      <c r="H17" s="689"/>
      <c r="I17" s="689"/>
      <c r="J17" s="690"/>
      <c r="K17" s="259">
        <f>+I9</f>
        <v>0.9</v>
      </c>
      <c r="L17" s="411">
        <v>0.1</v>
      </c>
      <c r="M17" s="286">
        <f>+P9</f>
        <v>0</v>
      </c>
      <c r="N17" s="286">
        <f>IFERROR(IF(M17&gt;=0.9,1,(M17*100%)/0.9),"-")</f>
        <v>0</v>
      </c>
      <c r="O17" s="275">
        <f>IFERROR(+IF(N17=100%,H17,(+N17*H17)),"-")</f>
        <v>0</v>
      </c>
      <c r="Q17" s="286">
        <f>+T9</f>
        <v>0</v>
      </c>
      <c r="R17" s="286">
        <f>IFERROR(IF(Q17&gt;=0.9,1,(Q17*100%)/0.9),"-")</f>
        <v>0</v>
      </c>
      <c r="S17" s="275">
        <f>IFERROR(+IF(R17=100%,L17,(+R17*L17)),"-")</f>
        <v>0</v>
      </c>
      <c r="U17" s="286">
        <f>+X9</f>
        <v>0</v>
      </c>
      <c r="V17" s="286" t="str">
        <f>IFERROR(IF(AVERAGE(U17,#REF!)&gt;=0.9,1,(AVERAGE(U17,#REF!)*100%)/0.9),"-")</f>
        <v>-</v>
      </c>
      <c r="W17" s="275" t="str">
        <f>IFERROR(+IF(V17=100%,L17,(+V17*L17)),"-")</f>
        <v>-</v>
      </c>
      <c r="X17" s="479"/>
      <c r="Y17" s="286">
        <f>+AB9</f>
        <v>0</v>
      </c>
      <c r="Z17" s="286">
        <f>+M17</f>
        <v>0</v>
      </c>
      <c r="AA17" s="286">
        <f>+Q17</f>
        <v>0</v>
      </c>
      <c r="AB17" s="286">
        <f>+U17</f>
        <v>0</v>
      </c>
      <c r="AC17" s="286">
        <f>IFERROR(IF(AVERAGE(Y17:AB17)&gt;=0.9,1,(AVERAGE(Y17:AB17)*100%)/0.9),"-")</f>
        <v>0</v>
      </c>
      <c r="AD17" s="275">
        <f>IFERROR(+IF(AC17=100%,L17,(+AC17*L17)),"-")</f>
        <v>0</v>
      </c>
    </row>
    <row r="18" spans="7:30" x14ac:dyDescent="0.25">
      <c r="G18" s="688" t="s">
        <v>372</v>
      </c>
      <c r="H18" s="689"/>
      <c r="I18" s="689"/>
      <c r="J18" s="690"/>
      <c r="K18" s="259" t="str">
        <f>+I10</f>
        <v>&gt;90%</v>
      </c>
      <c r="L18" s="411">
        <v>0.25</v>
      </c>
      <c r="M18" s="286">
        <f>+P10</f>
        <v>0</v>
      </c>
      <c r="N18" s="286">
        <f>IFERROR(IF(M18&gt;=0.9,1,(M18*100%)/0.9),"-")</f>
        <v>0</v>
      </c>
      <c r="O18" s="275">
        <f>IFERROR(+IF(N18=100%,H18,(+N18*H18)),"-")</f>
        <v>0</v>
      </c>
      <c r="Q18" s="286">
        <f>+T10</f>
        <v>0</v>
      </c>
      <c r="R18" s="286">
        <f>IFERROR(IF(Q18&gt;=0.9,1,(Q18*100%)/0.9),"-")</f>
        <v>0</v>
      </c>
      <c r="S18" s="275">
        <f>IFERROR(+IF(R18=100%,L18,(+R18*L18)),"-")</f>
        <v>0</v>
      </c>
      <c r="U18" s="286">
        <f>+X10</f>
        <v>0</v>
      </c>
      <c r="V18" s="286" t="str">
        <f>IFERROR(IF(AVERAGE(U18,#REF!)&gt;=0.9,1,(AVERAGE(U18,#REF!)*100%)/0.9),"-")</f>
        <v>-</v>
      </c>
      <c r="W18" s="275" t="str">
        <f>IFERROR(+IF(V18=100%,L18,(+V18*L18)),"-")</f>
        <v>-</v>
      </c>
      <c r="X18" s="479"/>
      <c r="Y18" s="286">
        <f>+AB10</f>
        <v>0</v>
      </c>
      <c r="Z18" s="286">
        <f>+M18</f>
        <v>0</v>
      </c>
      <c r="AA18" s="286">
        <f>+Q18</f>
        <v>0</v>
      </c>
      <c r="AB18" s="286">
        <f>+U18</f>
        <v>0</v>
      </c>
      <c r="AC18" s="286">
        <f>IFERROR(IF(AVERAGE(Y18:AB18)&gt;=0.9,1,(AVERAGE(Y18:AB18)*100%)/0.9),"-")</f>
        <v>0</v>
      </c>
      <c r="AD18" s="275">
        <f>IFERROR(+IF(AC18=100%,L18,(+AC18*L18)),"-")</f>
        <v>0</v>
      </c>
    </row>
    <row r="19" spans="7:30" x14ac:dyDescent="0.25">
      <c r="G19" s="688" t="s">
        <v>374</v>
      </c>
      <c r="H19" s="689"/>
      <c r="I19" s="689"/>
      <c r="J19" s="690"/>
      <c r="K19" s="259" t="str">
        <f>+I11</f>
        <v>&gt;90%</v>
      </c>
      <c r="L19" s="411">
        <v>0.25</v>
      </c>
      <c r="M19" s="286">
        <f>+P11</f>
        <v>0</v>
      </c>
      <c r="N19" s="286">
        <f>IFERROR(IF(M19&gt;=0.9,1,(M19*100%)/0.9),"-")</f>
        <v>0</v>
      </c>
      <c r="O19" s="275">
        <f>IFERROR(+IF(N19=100%,H19,(+N19*H19)),"-")</f>
        <v>0</v>
      </c>
      <c r="Q19" s="286">
        <f>+T11</f>
        <v>0</v>
      </c>
      <c r="R19" s="286">
        <f>IFERROR(IF(Q19&gt;=0.9,1,(Q19*100%)/0.9),"-")</f>
        <v>0</v>
      </c>
      <c r="S19" s="275">
        <f>IFERROR(+IF(R19=100%,L19,(+R19*L19)),"-")</f>
        <v>0</v>
      </c>
      <c r="U19" s="286">
        <f>+X11</f>
        <v>0</v>
      </c>
      <c r="V19" s="286" t="str">
        <f>IFERROR(IF(AVERAGE(U19,#REF!)&gt;=0.9,1,(AVERAGE(U19,#REF!)*100%)/0.9),"-")</f>
        <v>-</v>
      </c>
      <c r="W19" s="275" t="str">
        <f>IFERROR(+IF(V19=100%,L19,(+V19*L19)),"-")</f>
        <v>-</v>
      </c>
      <c r="X19" s="479"/>
      <c r="Y19" s="286">
        <f>+AB11</f>
        <v>0</v>
      </c>
      <c r="Z19" s="286">
        <f>+M19</f>
        <v>0</v>
      </c>
      <c r="AA19" s="286">
        <f>+Q19</f>
        <v>0</v>
      </c>
      <c r="AB19" s="286">
        <f>+U19</f>
        <v>0</v>
      </c>
      <c r="AC19" s="286">
        <f>IFERROR(IF(AVERAGE(Y19:AB19)&gt;=0.9,1,(AVERAGE(Y19:AB19)*100%)/0.9),"-")</f>
        <v>0</v>
      </c>
      <c r="AD19" s="275">
        <f>IFERROR(+IF(AC19=100%,L19,(+AC19*L19)),"-")</f>
        <v>0</v>
      </c>
    </row>
    <row r="20" spans="7:30" ht="21" x14ac:dyDescent="0.35">
      <c r="K20" s="63"/>
      <c r="L20" s="292">
        <f>SUM(L15:L19)</f>
        <v>0.8</v>
      </c>
      <c r="O20" s="321">
        <f>IFERROR(SUM(O15:O19),"-")</f>
        <v>0</v>
      </c>
      <c r="S20" s="321">
        <f>IFERROR(SUM(S15:S19),"-")</f>
        <v>0</v>
      </c>
      <c r="W20" s="321">
        <f>IFERROR(SUM(W15:W19),"-")</f>
        <v>0</v>
      </c>
      <c r="X20" s="365"/>
      <c r="AD20" s="402">
        <f>IFERROR(SUM(AD15:AD19),"-")</f>
        <v>0</v>
      </c>
    </row>
  </sheetData>
  <mergeCells count="51">
    <mergeCell ref="P12:P13"/>
    <mergeCell ref="G18:J18"/>
    <mergeCell ref="G19:J19"/>
    <mergeCell ref="B5:B6"/>
    <mergeCell ref="C5:C6"/>
    <mergeCell ref="D5:D6"/>
    <mergeCell ref="AH5:AK5"/>
    <mergeCell ref="H5:H6"/>
    <mergeCell ref="I5:I6"/>
    <mergeCell ref="L5:L6"/>
    <mergeCell ref="E5:E6"/>
    <mergeCell ref="J5:J6"/>
    <mergeCell ref="T5:T6"/>
    <mergeCell ref="X5:X6"/>
    <mergeCell ref="AB5:AB6"/>
    <mergeCell ref="AC5:AG5"/>
    <mergeCell ref="N5:N6"/>
    <mergeCell ref="O5:O6"/>
    <mergeCell ref="P5:P6"/>
    <mergeCell ref="AI1:AK2"/>
    <mergeCell ref="A2:B3"/>
    <mergeCell ref="C2:AH3"/>
    <mergeCell ref="AI3:AK3"/>
    <mergeCell ref="A4:D4"/>
    <mergeCell ref="A1:B1"/>
    <mergeCell ref="C1:AH1"/>
    <mergeCell ref="A5:A6"/>
    <mergeCell ref="F7:F11"/>
    <mergeCell ref="F5:F6"/>
    <mergeCell ref="G5:G6"/>
    <mergeCell ref="AG12:AG13"/>
    <mergeCell ref="A12:L12"/>
    <mergeCell ref="T12:T13"/>
    <mergeCell ref="X12:X13"/>
    <mergeCell ref="AB12:AB13"/>
    <mergeCell ref="R5:R6"/>
    <mergeCell ref="S5:S6"/>
    <mergeCell ref="V5:V6"/>
    <mergeCell ref="W5:W6"/>
    <mergeCell ref="AA5:AA6"/>
    <mergeCell ref="Z5:Z6"/>
    <mergeCell ref="K5:K6"/>
    <mergeCell ref="A7:A11"/>
    <mergeCell ref="G14:J14"/>
    <mergeCell ref="G15:J15"/>
    <mergeCell ref="G16:J16"/>
    <mergeCell ref="G17:J17"/>
    <mergeCell ref="B7:B11"/>
    <mergeCell ref="C7:C11"/>
    <mergeCell ref="D7:D11"/>
    <mergeCell ref="E7:E11"/>
  </mergeCells>
  <conditionalFormatting sqref="AE7:AG7 AD7:AD9 AC7:AC11 AE8:AF9 AD10:AF11">
    <cfRule type="cellIs" dxfId="38" priority="4" operator="lessThan">
      <formula>0.6</formula>
    </cfRule>
    <cfRule type="cellIs" dxfId="37" priority="5" operator="between">
      <formula>60%</formula>
      <formula>79%</formula>
    </cfRule>
    <cfRule type="cellIs" dxfId="36" priority="6" operator="between">
      <formula>80%</formula>
      <formula>100%</formula>
    </cfRule>
  </conditionalFormatting>
  <conditionalFormatting sqref="AG8:AG12">
    <cfRule type="cellIs" dxfId="35" priority="10" operator="lessThan">
      <formula>0.6</formula>
    </cfRule>
    <cfRule type="cellIs" dxfId="34" priority="11" operator="between">
      <formula>60%</formula>
      <formula>79%</formula>
    </cfRule>
    <cfRule type="cellIs" dxfId="33" priority="12" operator="between">
      <formula>80%</formula>
      <formula>100%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AW17"/>
  <sheetViews>
    <sheetView topLeftCell="D1" zoomScale="70" zoomScaleNormal="70" workbookViewId="0">
      <selection activeCell="M7" sqref="M7:M9"/>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21.7109375" customWidth="1"/>
    <col min="8" max="8" width="25.28515625" customWidth="1"/>
    <col min="9" max="11" width="14.42578125" customWidth="1"/>
    <col min="12" max="12" width="16.7109375" customWidth="1"/>
    <col min="13" max="16" width="19.42578125" customWidth="1"/>
    <col min="17" max="17" width="25.7109375" customWidth="1"/>
    <col min="18" max="18" width="34.42578125" customWidth="1"/>
    <col min="19" max="19" width="19.42578125" customWidth="1"/>
    <col min="20" max="23" width="19.42578125" hidden="1" customWidth="1"/>
    <col min="24" max="24" width="25.7109375" hidden="1" customWidth="1"/>
    <col min="25" max="25" width="34.42578125" hidden="1" customWidth="1"/>
    <col min="26" max="30" width="19.42578125" hidden="1" customWidth="1"/>
    <col min="31" max="31" width="22.85546875" hidden="1" customWidth="1"/>
    <col min="32" max="32" width="32.140625" hidden="1" customWidth="1"/>
    <col min="33" max="37" width="19.42578125" hidden="1" customWidth="1"/>
    <col min="38" max="38" width="41.5703125" hidden="1" customWidth="1"/>
    <col min="39" max="39" width="29.28515625" hidden="1" customWidth="1"/>
    <col min="40" max="40" width="19.42578125" hidden="1" customWidth="1"/>
    <col min="41" max="45" width="17.7109375" customWidth="1"/>
    <col min="46" max="49" width="26.5703125" customWidth="1"/>
  </cols>
  <sheetData>
    <row r="1" spans="1:49"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77"/>
      <c r="AV1" s="577"/>
      <c r="AW1" s="577"/>
    </row>
    <row r="2" spans="1:49"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77"/>
      <c r="AV2" s="577"/>
      <c r="AW2" s="577"/>
    </row>
    <row r="3" spans="1:49"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78" t="s">
        <v>718</v>
      </c>
      <c r="AV3" s="578"/>
      <c r="AW3" s="578"/>
    </row>
    <row r="4" spans="1:49" ht="15.75" thickBot="1" x14ac:dyDescent="0.3">
      <c r="A4" s="572" t="s">
        <v>193</v>
      </c>
      <c r="B4" s="572"/>
      <c r="C4" s="572"/>
      <c r="D4" s="572"/>
      <c r="E4" s="28"/>
      <c r="F4" s="36"/>
      <c r="G4" s="28"/>
      <c r="H4" s="28"/>
      <c r="I4" s="28"/>
      <c r="J4" s="28"/>
      <c r="K4" s="28"/>
      <c r="L4" s="28"/>
      <c r="M4" s="54"/>
      <c r="N4" s="28"/>
      <c r="O4" s="28"/>
      <c r="P4" s="28"/>
      <c r="Q4" s="28"/>
      <c r="R4" s="28"/>
      <c r="S4" s="28"/>
      <c r="T4" s="54"/>
      <c r="U4" s="28"/>
      <c r="V4" s="28"/>
      <c r="W4" s="28"/>
      <c r="X4" s="28"/>
      <c r="Y4" s="28"/>
      <c r="Z4" s="28"/>
      <c r="AA4" s="54"/>
      <c r="AB4" s="28"/>
      <c r="AC4" s="28"/>
      <c r="AD4" s="28"/>
      <c r="AE4" s="28"/>
      <c r="AF4" s="28"/>
      <c r="AG4" s="28"/>
      <c r="AH4" s="54"/>
      <c r="AI4" s="28"/>
      <c r="AJ4" s="28"/>
      <c r="AK4" s="28"/>
      <c r="AL4" s="28"/>
      <c r="AM4" s="28"/>
      <c r="AN4" s="28"/>
      <c r="AO4" s="28"/>
      <c r="AP4" s="28"/>
      <c r="AQ4" s="28"/>
      <c r="AR4" s="28"/>
      <c r="AS4" s="28"/>
      <c r="AT4" s="28"/>
      <c r="AU4" s="28"/>
      <c r="AV4" s="28"/>
      <c r="AW4" s="28"/>
    </row>
    <row r="5" spans="1:49" ht="57" customHeight="1" x14ac:dyDescent="0.25">
      <c r="A5" s="583" t="s">
        <v>1</v>
      </c>
      <c r="B5" s="575" t="s">
        <v>3</v>
      </c>
      <c r="C5" s="575" t="s">
        <v>194</v>
      </c>
      <c r="D5" s="575" t="s">
        <v>195</v>
      </c>
      <c r="E5" s="575" t="s">
        <v>196</v>
      </c>
      <c r="F5" s="581" t="s">
        <v>781</v>
      </c>
      <c r="G5" s="575" t="s">
        <v>228</v>
      </c>
      <c r="H5" s="575" t="s">
        <v>227</v>
      </c>
      <c r="I5" s="575" t="s">
        <v>8</v>
      </c>
      <c r="J5" s="575" t="s">
        <v>481</v>
      </c>
      <c r="K5" s="575" t="s">
        <v>501</v>
      </c>
      <c r="L5" s="579" t="s">
        <v>9</v>
      </c>
      <c r="M5" s="211" t="s">
        <v>381</v>
      </c>
      <c r="N5" s="212" t="s">
        <v>367</v>
      </c>
      <c r="O5" s="194" t="s">
        <v>382</v>
      </c>
      <c r="P5" s="194" t="s">
        <v>383</v>
      </c>
      <c r="Q5" s="655" t="s">
        <v>414</v>
      </c>
      <c r="R5" s="573" t="s">
        <v>416</v>
      </c>
      <c r="S5" s="563" t="s">
        <v>776</v>
      </c>
      <c r="T5" s="211" t="s">
        <v>381</v>
      </c>
      <c r="U5" s="212" t="s">
        <v>367</v>
      </c>
      <c r="V5" s="194" t="s">
        <v>382</v>
      </c>
      <c r="W5" s="194" t="s">
        <v>383</v>
      </c>
      <c r="X5" s="655" t="s">
        <v>414</v>
      </c>
      <c r="Y5" s="573" t="s">
        <v>416</v>
      </c>
      <c r="Z5" s="563" t="s">
        <v>474</v>
      </c>
      <c r="AA5" s="177" t="s">
        <v>381</v>
      </c>
      <c r="AB5" s="212" t="s">
        <v>367</v>
      </c>
      <c r="AC5" s="194" t="s">
        <v>382</v>
      </c>
      <c r="AD5" s="194" t="s">
        <v>383</v>
      </c>
      <c r="AE5" s="655" t="s">
        <v>414</v>
      </c>
      <c r="AF5" s="573" t="s">
        <v>416</v>
      </c>
      <c r="AG5" s="563" t="s">
        <v>477</v>
      </c>
      <c r="AH5" s="177" t="s">
        <v>381</v>
      </c>
      <c r="AI5" s="212" t="s">
        <v>367</v>
      </c>
      <c r="AJ5" s="194" t="s">
        <v>382</v>
      </c>
      <c r="AK5" s="194" t="s">
        <v>383</v>
      </c>
      <c r="AL5" s="655" t="s">
        <v>414</v>
      </c>
      <c r="AM5" s="573" t="s">
        <v>416</v>
      </c>
      <c r="AN5" s="563" t="s">
        <v>479</v>
      </c>
      <c r="AO5" s="626" t="s">
        <v>11</v>
      </c>
      <c r="AP5" s="627"/>
      <c r="AQ5" s="627"/>
      <c r="AR5" s="627"/>
      <c r="AS5" s="628"/>
      <c r="AT5" s="569" t="s">
        <v>539</v>
      </c>
      <c r="AU5" s="570"/>
      <c r="AV5" s="570"/>
      <c r="AW5" s="571"/>
    </row>
    <row r="6" spans="1:49" ht="57" customHeight="1" x14ac:dyDescent="0.25">
      <c r="A6" s="584"/>
      <c r="B6" s="514"/>
      <c r="C6" s="514"/>
      <c r="D6" s="514"/>
      <c r="E6" s="514"/>
      <c r="F6" s="582"/>
      <c r="G6" s="514"/>
      <c r="H6" s="514"/>
      <c r="I6" s="514"/>
      <c r="J6" s="514"/>
      <c r="K6" s="514"/>
      <c r="L6" s="580"/>
      <c r="M6" s="141" t="s">
        <v>775</v>
      </c>
      <c r="N6" s="4" t="s">
        <v>775</v>
      </c>
      <c r="O6" s="4" t="s">
        <v>775</v>
      </c>
      <c r="P6" s="4" t="s">
        <v>775</v>
      </c>
      <c r="Q6" s="656"/>
      <c r="R6" s="574"/>
      <c r="S6" s="564"/>
      <c r="T6" s="141" t="s">
        <v>298</v>
      </c>
      <c r="U6" s="4" t="s">
        <v>298</v>
      </c>
      <c r="V6" s="4" t="s">
        <v>298</v>
      </c>
      <c r="W6" s="4" t="s">
        <v>298</v>
      </c>
      <c r="X6" s="656"/>
      <c r="Y6" s="574"/>
      <c r="Z6" s="564"/>
      <c r="AA6" s="141" t="s">
        <v>287</v>
      </c>
      <c r="AB6" s="4" t="s">
        <v>287</v>
      </c>
      <c r="AC6" s="4" t="s">
        <v>287</v>
      </c>
      <c r="AD6" s="4" t="s">
        <v>287</v>
      </c>
      <c r="AE6" s="656"/>
      <c r="AF6" s="574"/>
      <c r="AG6" s="564"/>
      <c r="AH6" s="141" t="s">
        <v>312</v>
      </c>
      <c r="AI6" s="4" t="s">
        <v>312</v>
      </c>
      <c r="AJ6" s="4" t="s">
        <v>312</v>
      </c>
      <c r="AK6" s="4" t="s">
        <v>312</v>
      </c>
      <c r="AL6" s="656"/>
      <c r="AM6" s="574"/>
      <c r="AN6" s="564"/>
      <c r="AO6" s="154" t="s">
        <v>198</v>
      </c>
      <c r="AP6" s="5" t="s">
        <v>199</v>
      </c>
      <c r="AQ6" s="5" t="s">
        <v>200</v>
      </c>
      <c r="AR6" s="5" t="s">
        <v>201</v>
      </c>
      <c r="AS6" s="155" t="s">
        <v>20</v>
      </c>
      <c r="AT6" s="159" t="s">
        <v>202</v>
      </c>
      <c r="AU6" s="31" t="s">
        <v>203</v>
      </c>
      <c r="AV6" s="31" t="s">
        <v>204</v>
      </c>
      <c r="AW6" s="160" t="s">
        <v>205</v>
      </c>
    </row>
    <row r="7" spans="1:49" ht="72.75" customHeight="1" x14ac:dyDescent="0.25">
      <c r="A7" s="705" t="s">
        <v>343</v>
      </c>
      <c r="B7" s="699" t="s">
        <v>344</v>
      </c>
      <c r="C7" s="699" t="s">
        <v>345</v>
      </c>
      <c r="D7" s="585" t="s">
        <v>370</v>
      </c>
      <c r="E7" s="699" t="s">
        <v>371</v>
      </c>
      <c r="F7" s="679">
        <v>0.8</v>
      </c>
      <c r="G7" s="406" t="s">
        <v>376</v>
      </c>
      <c r="H7" s="136" t="s">
        <v>377</v>
      </c>
      <c r="I7" s="309" t="s">
        <v>132</v>
      </c>
      <c r="J7" s="198" t="s">
        <v>483</v>
      </c>
      <c r="K7" s="176" t="s">
        <v>624</v>
      </c>
      <c r="L7" s="213" t="s">
        <v>375</v>
      </c>
      <c r="M7" s="142"/>
      <c r="N7" s="55"/>
      <c r="O7" s="55"/>
      <c r="P7" s="55"/>
      <c r="Q7" s="55"/>
      <c r="R7" s="55"/>
      <c r="S7" s="143" t="e">
        <f>+AVERAGE(M7:P7)</f>
        <v>#DIV/0!</v>
      </c>
      <c r="T7" s="142"/>
      <c r="U7" s="55"/>
      <c r="V7" s="55"/>
      <c r="W7" s="55"/>
      <c r="X7" s="55"/>
      <c r="Y7" s="55"/>
      <c r="Z7" s="143" t="e">
        <f>+AVERAGE(T7:W7)</f>
        <v>#DIV/0!</v>
      </c>
      <c r="AA7" s="55"/>
      <c r="AB7" s="55"/>
      <c r="AC7" s="55"/>
      <c r="AD7" s="55"/>
      <c r="AE7" s="55"/>
      <c r="AF7" s="319"/>
      <c r="AG7" s="143" t="e">
        <f>(AVERAGE(AA7:AF7))</f>
        <v>#DIV/0!</v>
      </c>
      <c r="AH7" s="142"/>
      <c r="AI7" s="55"/>
      <c r="AJ7" s="55"/>
      <c r="AK7" s="55"/>
      <c r="AL7" s="55"/>
      <c r="AM7" s="55"/>
      <c r="AN7" s="218" t="e">
        <f t="shared" ref="AN7:AN8" si="0">+AVERAGE(AH7:AM7)</f>
        <v>#DIV/0!</v>
      </c>
      <c r="AO7" s="25" t="str">
        <f>IFERROR(IF(S7&gt;=0.8,1,(S7*100%)/0.8),"-")</f>
        <v>-</v>
      </c>
      <c r="AP7" s="25" t="str">
        <f>IFERROR(IF(Z7&gt;=0.8,1,(Z7*100%)/0.8),"-")</f>
        <v>-</v>
      </c>
      <c r="AQ7" s="25" t="str">
        <f>IFERROR(IF(AG7&gt;=0.8,1,(AG7*100%)/0.8),"-")</f>
        <v>-</v>
      </c>
      <c r="AR7" s="25" t="str">
        <f>IFERROR(IF(AN7&gt;=0.8,1,(AN7*100%)/0.8),"-")</f>
        <v>-</v>
      </c>
      <c r="AS7" s="157" t="str">
        <f>IFERROR(AVERAGE(AO7:AR7),"-")</f>
        <v>-</v>
      </c>
      <c r="AT7" s="161"/>
      <c r="AU7" s="33"/>
      <c r="AV7" s="34"/>
      <c r="AW7" s="162"/>
    </row>
    <row r="8" spans="1:49" ht="80.25" customHeight="1" x14ac:dyDescent="0.25">
      <c r="A8" s="706"/>
      <c r="B8" s="586"/>
      <c r="C8" s="677"/>
      <c r="D8" s="586"/>
      <c r="E8" s="677"/>
      <c r="F8" s="680"/>
      <c r="G8" s="406" t="s">
        <v>378</v>
      </c>
      <c r="H8" s="136" t="s">
        <v>379</v>
      </c>
      <c r="I8" s="309" t="s">
        <v>132</v>
      </c>
      <c r="J8" s="198" t="s">
        <v>483</v>
      </c>
      <c r="K8" s="176" t="s">
        <v>624</v>
      </c>
      <c r="L8" s="213" t="s">
        <v>375</v>
      </c>
      <c r="M8" s="142"/>
      <c r="N8" s="7"/>
      <c r="O8" s="7"/>
      <c r="P8" s="7"/>
      <c r="Q8" s="55"/>
      <c r="R8" s="55"/>
      <c r="S8" s="143" t="e">
        <f>AVERAGE(M8:P8)</f>
        <v>#DIV/0!</v>
      </c>
      <c r="T8" s="142"/>
      <c r="U8" s="7"/>
      <c r="V8" s="7"/>
      <c r="W8" s="7"/>
      <c r="X8" s="55"/>
      <c r="Y8" s="55"/>
      <c r="Z8" s="143" t="e">
        <f>AVERAGE(T8:W8)</f>
        <v>#DIV/0!</v>
      </c>
      <c r="AA8" s="55"/>
      <c r="AB8" s="7"/>
      <c r="AC8" s="55"/>
      <c r="AD8" s="55"/>
      <c r="AE8" s="55"/>
      <c r="AF8" s="319"/>
      <c r="AG8" s="143" t="e">
        <f>(AVERAGE(AA8:AF8))</f>
        <v>#DIV/0!</v>
      </c>
      <c r="AH8" s="142"/>
      <c r="AI8" s="7"/>
      <c r="AJ8" s="7"/>
      <c r="AK8" s="7"/>
      <c r="AL8" s="55"/>
      <c r="AM8" s="55"/>
      <c r="AN8" s="218" t="e">
        <f t="shared" si="0"/>
        <v>#DIV/0!</v>
      </c>
      <c r="AO8" s="25" t="str">
        <f>IFERROR(IF(S8&gt;=0.8,1,(S8*100%)/0.8),"-")</f>
        <v>-</v>
      </c>
      <c r="AP8" s="25" t="str">
        <f>IFERROR(IF(Z8&gt;=0.8,1,(Z8*100%)/0.8),"-")</f>
        <v>-</v>
      </c>
      <c r="AQ8" s="25" t="str">
        <f>IFERROR(IF(AG8&gt;=0.8,1,(AG8*100%)/0.8),"-")</f>
        <v>-</v>
      </c>
      <c r="AR8" s="25" t="str">
        <f>IFERROR(IF(AN8&gt;=0.8,1,(AN8*100%)/0.8),"-")</f>
        <v>-</v>
      </c>
      <c r="AS8" s="157" t="str">
        <f>IFERROR(AVERAGE(AO8:AR8),"-")</f>
        <v>-</v>
      </c>
      <c r="AT8" s="163"/>
      <c r="AU8" s="29"/>
      <c r="AV8" s="27"/>
      <c r="AW8" s="164"/>
    </row>
    <row r="9" spans="1:49" ht="83.25" customHeight="1" x14ac:dyDescent="0.25">
      <c r="A9" s="706"/>
      <c r="B9" s="586"/>
      <c r="C9" s="677"/>
      <c r="D9" s="586"/>
      <c r="E9" s="677"/>
      <c r="F9" s="680"/>
      <c r="G9" s="407" t="s">
        <v>380</v>
      </c>
      <c r="H9" s="136" t="s">
        <v>686</v>
      </c>
      <c r="I9" s="72" t="s">
        <v>693</v>
      </c>
      <c r="J9" s="198" t="s">
        <v>494</v>
      </c>
      <c r="K9" s="176" t="s">
        <v>625</v>
      </c>
      <c r="L9" s="213" t="s">
        <v>375</v>
      </c>
      <c r="M9" s="369"/>
      <c r="N9" s="53"/>
      <c r="O9" s="7"/>
      <c r="P9" s="7"/>
      <c r="Q9" s="7"/>
      <c r="R9" s="55"/>
      <c r="S9" s="218" t="e">
        <f>AVERAGE(M9:P9)</f>
        <v>#DIV/0!</v>
      </c>
      <c r="T9" s="369"/>
      <c r="U9" s="53"/>
      <c r="V9" s="7"/>
      <c r="W9" s="7"/>
      <c r="X9" s="7"/>
      <c r="Y9" s="55"/>
      <c r="Z9" s="218" t="e">
        <f>AVERAGE(T9:W9)</f>
        <v>#DIV/0!</v>
      </c>
      <c r="AA9" s="369"/>
      <c r="AB9" s="15"/>
      <c r="AC9" s="7"/>
      <c r="AD9" s="7"/>
      <c r="AE9" s="55"/>
      <c r="AF9" s="370"/>
      <c r="AG9" s="218" t="e">
        <f>(AVERAGE(AA9:AF9))</f>
        <v>#DIV/0!</v>
      </c>
      <c r="AH9" s="359"/>
      <c r="AI9" s="53"/>
      <c r="AJ9" s="7"/>
      <c r="AK9" s="7"/>
      <c r="AL9" s="55"/>
      <c r="AM9" s="55"/>
      <c r="AN9" s="218" t="e">
        <f>+AVERAGE(AH9:AM9)</f>
        <v>#DIV/0!</v>
      </c>
      <c r="AO9" s="25" t="str">
        <f>IFERROR(IF(S9&gt;=0.5,1,(S9*100%)/0.5),"-")</f>
        <v>-</v>
      </c>
      <c r="AP9" s="25" t="str">
        <f>IFERROR(IF(Z9&gt;=0.5,1,(Z9*100%)/0.5),"-")</f>
        <v>-</v>
      </c>
      <c r="AQ9" s="25" t="str">
        <f>IFERROR(IF(AG9&gt;=0.5,1,(AG9*100%)/0.5),"-")</f>
        <v>-</v>
      </c>
      <c r="AR9" s="25" t="str">
        <f>IFERROR(IF(AN9&gt;=0.5,1,(AN9*100%)/0.5),"-")</f>
        <v>-</v>
      </c>
      <c r="AS9" s="157" t="str">
        <f>IFERROR(AVERAGE(AO9:AR9),"-")</f>
        <v>-</v>
      </c>
      <c r="AT9" s="163"/>
      <c r="AU9" s="29"/>
      <c r="AV9" s="27"/>
      <c r="AW9" s="193"/>
    </row>
    <row r="10" spans="1:49" ht="26.25" thickBot="1" x14ac:dyDescent="0.3">
      <c r="A10" s="629" t="s">
        <v>293</v>
      </c>
      <c r="B10" s="630"/>
      <c r="C10" s="630"/>
      <c r="D10" s="630"/>
      <c r="E10" s="630"/>
      <c r="F10" s="630"/>
      <c r="G10" s="630"/>
      <c r="H10" s="630"/>
      <c r="I10" s="630"/>
      <c r="J10" s="631"/>
      <c r="K10" s="631"/>
      <c r="L10" s="632"/>
      <c r="M10" s="490" t="str">
        <f t="shared" ref="M10:P10" si="1">IFERROR(AVERAGE(M7:M9),"-")</f>
        <v>-</v>
      </c>
      <c r="N10" s="320" t="str">
        <f t="shared" si="1"/>
        <v>-</v>
      </c>
      <c r="O10" s="320" t="str">
        <f t="shared" si="1"/>
        <v>-</v>
      </c>
      <c r="P10" s="320" t="str">
        <f t="shared" si="1"/>
        <v>-</v>
      </c>
      <c r="Q10" s="147"/>
      <c r="R10" s="118"/>
      <c r="S10" s="619" t="e">
        <f>+AVERAGE(S7:S9)</f>
        <v>#DIV/0!</v>
      </c>
      <c r="T10" s="312" t="str">
        <f t="shared" ref="T10:AS10" si="2">IFERROR(AVERAGE(T7:T9),"-")</f>
        <v>-</v>
      </c>
      <c r="U10" s="320" t="str">
        <f t="shared" si="2"/>
        <v>-</v>
      </c>
      <c r="V10" s="320" t="str">
        <f t="shared" si="2"/>
        <v>-</v>
      </c>
      <c r="W10" s="320" t="str">
        <f t="shared" si="2"/>
        <v>-</v>
      </c>
      <c r="X10" s="147"/>
      <c r="Y10" s="118"/>
      <c r="Z10" s="619" t="e">
        <f>+AVERAGE(Z7:Z9)</f>
        <v>#DIV/0!</v>
      </c>
      <c r="AA10" s="367" t="str">
        <f t="shared" si="2"/>
        <v>-</v>
      </c>
      <c r="AB10" s="314" t="str">
        <f t="shared" si="2"/>
        <v>-</v>
      </c>
      <c r="AC10" s="314" t="str">
        <f t="shared" si="2"/>
        <v>-</v>
      </c>
      <c r="AD10" s="314" t="str">
        <f t="shared" si="2"/>
        <v>-</v>
      </c>
      <c r="AE10" s="147"/>
      <c r="AF10" s="118"/>
      <c r="AG10" s="619" t="str">
        <f t="shared" si="2"/>
        <v>-</v>
      </c>
      <c r="AH10" s="170"/>
      <c r="AI10" s="171" t="str">
        <f t="shared" si="2"/>
        <v>-</v>
      </c>
      <c r="AJ10" s="171" t="str">
        <f t="shared" si="2"/>
        <v>-</v>
      </c>
      <c r="AK10" s="171" t="str">
        <f t="shared" si="2"/>
        <v>-</v>
      </c>
      <c r="AL10" s="147"/>
      <c r="AM10" s="118"/>
      <c r="AN10" s="619">
        <v>1</v>
      </c>
      <c r="AO10" s="170" t="str">
        <f t="shared" si="2"/>
        <v>-</v>
      </c>
      <c r="AP10" s="171" t="str">
        <f t="shared" si="2"/>
        <v>-</v>
      </c>
      <c r="AQ10" s="171" t="str">
        <f t="shared" si="2"/>
        <v>-</v>
      </c>
      <c r="AR10" s="56" t="str">
        <f t="shared" si="2"/>
        <v>-</v>
      </c>
      <c r="AS10" s="695" t="str">
        <f t="shared" si="2"/>
        <v>-</v>
      </c>
      <c r="AT10" s="165"/>
      <c r="AU10" s="166"/>
      <c r="AV10" s="167"/>
      <c r="AW10" s="168"/>
    </row>
    <row r="11" spans="1:49" ht="27" thickBot="1" x14ac:dyDescent="0.3">
      <c r="A11" s="28"/>
      <c r="B11" s="28"/>
      <c r="C11" s="28"/>
      <c r="D11" s="28"/>
      <c r="E11" s="28"/>
      <c r="F11" s="36"/>
      <c r="G11" s="28"/>
      <c r="H11" s="28"/>
      <c r="I11" s="28"/>
      <c r="J11" s="28"/>
      <c r="K11" s="28"/>
      <c r="L11" s="28"/>
      <c r="M11" s="197"/>
      <c r="N11" s="173"/>
      <c r="O11" s="173"/>
      <c r="P11" s="173"/>
      <c r="Q11" s="174"/>
      <c r="R11" s="187" t="s">
        <v>801</v>
      </c>
      <c r="S11" s="620"/>
      <c r="T11" s="197"/>
      <c r="U11" s="173"/>
      <c r="V11" s="173"/>
      <c r="W11" s="173"/>
      <c r="X11" s="174"/>
      <c r="Y11" s="187" t="s">
        <v>606</v>
      </c>
      <c r="Z11" s="620"/>
      <c r="AA11" s="195"/>
      <c r="AB11" s="173"/>
      <c r="AC11" s="173"/>
      <c r="AD11" s="173"/>
      <c r="AE11" s="174"/>
      <c r="AF11" s="187" t="s">
        <v>492</v>
      </c>
      <c r="AG11" s="620"/>
      <c r="AH11" s="195"/>
      <c r="AI11" s="173"/>
      <c r="AJ11" s="173"/>
      <c r="AK11" s="173"/>
      <c r="AL11" s="174"/>
      <c r="AM11" s="187" t="s">
        <v>493</v>
      </c>
      <c r="AN11" s="620"/>
      <c r="AO11" s="172"/>
      <c r="AP11" s="173"/>
      <c r="AQ11" s="174"/>
      <c r="AR11" s="158" t="s">
        <v>294</v>
      </c>
      <c r="AS11" s="696"/>
      <c r="AT11" s="28"/>
      <c r="AU11" s="28"/>
      <c r="AV11" s="28"/>
      <c r="AW11" s="28"/>
    </row>
    <row r="13" spans="1:49" ht="45" x14ac:dyDescent="0.25">
      <c r="G13" s="589" t="s">
        <v>561</v>
      </c>
      <c r="H13" s="590"/>
      <c r="I13" s="590"/>
      <c r="J13" s="591"/>
      <c r="K13" s="255" t="s">
        <v>558</v>
      </c>
      <c r="L13" s="273" t="s">
        <v>559</v>
      </c>
      <c r="M13" s="256" t="s">
        <v>563</v>
      </c>
      <c r="N13" s="256" t="s">
        <v>564</v>
      </c>
      <c r="O13" s="257" t="s">
        <v>562</v>
      </c>
      <c r="T13" s="256" t="s">
        <v>563</v>
      </c>
      <c r="U13" s="256" t="s">
        <v>564</v>
      </c>
      <c r="V13" s="257" t="s">
        <v>562</v>
      </c>
      <c r="AA13" s="256" t="s">
        <v>563</v>
      </c>
      <c r="AB13" s="256" t="s">
        <v>695</v>
      </c>
      <c r="AC13" s="256" t="s">
        <v>564</v>
      </c>
      <c r="AD13" s="257" t="s">
        <v>562</v>
      </c>
      <c r="AE13" s="257" t="s">
        <v>562</v>
      </c>
      <c r="AH13" s="256" t="s">
        <v>563</v>
      </c>
      <c r="AI13" s="256" t="s">
        <v>695</v>
      </c>
      <c r="AJ13" s="256" t="s">
        <v>699</v>
      </c>
      <c r="AK13" s="256" t="s">
        <v>564</v>
      </c>
      <c r="AL13" s="257" t="s">
        <v>562</v>
      </c>
      <c r="AM13" s="257" t="s">
        <v>562</v>
      </c>
    </row>
    <row r="14" spans="1:49" x14ac:dyDescent="0.25">
      <c r="G14" s="688" t="s">
        <v>376</v>
      </c>
      <c r="H14" s="689"/>
      <c r="I14" s="689"/>
      <c r="J14" s="690"/>
      <c r="K14" s="286" t="str">
        <f>+I7</f>
        <v>&gt;=80%</v>
      </c>
      <c r="L14" s="412">
        <v>0.25</v>
      </c>
      <c r="M14" s="286" t="e">
        <f>+S7</f>
        <v>#DIV/0!</v>
      </c>
      <c r="N14" s="286" t="str">
        <f>IFERROR(IF(M14&gt;=0.8,1,(M14*100%)/0.8),"-")</f>
        <v>-</v>
      </c>
      <c r="O14" s="259" t="str">
        <f t="shared" ref="O14:O15" si="3">+IFERROR(IF(N14=100%,L14,(+N14*L14)),"-")</f>
        <v>-</v>
      </c>
      <c r="T14" s="286" t="e">
        <f>+Z7</f>
        <v>#DIV/0!</v>
      </c>
      <c r="U14" s="286" t="str">
        <f>IFERROR(IF(T14&gt;=0.8,1,(T14*100%)/0.8),"-")</f>
        <v>-</v>
      </c>
      <c r="V14" s="259" t="str">
        <f>IFERROR(+IF(U14=100%,L14,(+U14*L14)),"-")</f>
        <v>-</v>
      </c>
      <c r="AA14" s="286" t="e">
        <f>+AG7</f>
        <v>#DIV/0!</v>
      </c>
      <c r="AB14" s="286" t="e">
        <f>+T14</f>
        <v>#DIV/0!</v>
      </c>
      <c r="AC14" s="286" t="str">
        <f>IFERROR(IF(AA14&gt;=0.8,1,(AA14*100%)/0.8),"-")</f>
        <v>-</v>
      </c>
      <c r="AD14" s="259" t="str">
        <f>IFERROR(+IF(AC14=100%,L14,(+AC14*L14)),"-")</f>
        <v>-</v>
      </c>
      <c r="AE14" s="714">
        <f>+AC17</f>
        <v>0</v>
      </c>
      <c r="AH14" s="286" t="e">
        <f>+AN7</f>
        <v>#DIV/0!</v>
      </c>
      <c r="AI14" s="286" t="str">
        <f>+IFERROR(T14," ")</f>
        <v xml:space="preserve"> </v>
      </c>
      <c r="AJ14" s="286" t="str">
        <f>+IFERROR(AA14," ")</f>
        <v xml:space="preserve"> </v>
      </c>
      <c r="AK14" s="286" t="str">
        <f>IFERROR(IF(AVERAGE(AH14:AJ14)&gt;=0.8,1,(AVERAGE(AH14:AJ14)*100%)/0.8),"-")</f>
        <v>-</v>
      </c>
      <c r="AL14" s="259" t="str">
        <f>IFERROR(+IF(AK14=100%,L14,(+AK14*L14)),"-")</f>
        <v>-</v>
      </c>
      <c r="AM14" s="714">
        <f>+AL17</f>
        <v>0</v>
      </c>
    </row>
    <row r="15" spans="1:49" x14ac:dyDescent="0.25">
      <c r="G15" s="688" t="s">
        <v>378</v>
      </c>
      <c r="H15" s="689"/>
      <c r="I15" s="689"/>
      <c r="J15" s="690"/>
      <c r="K15" s="286" t="str">
        <f>+I8</f>
        <v>&gt;=80%</v>
      </c>
      <c r="L15" s="412">
        <v>0.25</v>
      </c>
      <c r="M15" s="286" t="e">
        <f>+S8</f>
        <v>#DIV/0!</v>
      </c>
      <c r="N15" s="286" t="str">
        <f>IFERROR(IF(M15&gt;=0.8,1,(M15*100%)/0.8),"-")</f>
        <v>-</v>
      </c>
      <c r="O15" s="259" t="str">
        <f t="shared" si="3"/>
        <v>-</v>
      </c>
      <c r="T15" s="286" t="e">
        <f>+Z8</f>
        <v>#DIV/0!</v>
      </c>
      <c r="U15" s="286" t="str">
        <f>IFERROR(IF(T15&gt;=0.8,1,(T15*100%)/0.8),"-")</f>
        <v>-</v>
      </c>
      <c r="V15" s="259" t="str">
        <f>+IFERROR(IF(U15=100%,L15,(+U15*L15)),"-")</f>
        <v>-</v>
      </c>
      <c r="AA15" s="286" t="e">
        <f>+AG8</f>
        <v>#DIV/0!</v>
      </c>
      <c r="AB15" s="286" t="e">
        <f>+T15</f>
        <v>#DIV/0!</v>
      </c>
      <c r="AC15" s="286" t="str">
        <f>IFERROR(IF(AA15&gt;=0.8,1,(AA15*100%)/0.8),"-")</f>
        <v>-</v>
      </c>
      <c r="AD15" s="259" t="str">
        <f>IFERROR(+IF(AC15=100%,L15,(+AC15*L15)),"-")</f>
        <v>-</v>
      </c>
      <c r="AE15" s="621"/>
      <c r="AH15" s="286" t="e">
        <f>+AN8</f>
        <v>#DIV/0!</v>
      </c>
      <c r="AI15" s="286" t="str">
        <f>IFERROR(T15," ")</f>
        <v xml:space="preserve"> </v>
      </c>
      <c r="AJ15" s="286" t="str">
        <f>+IFERROR(AA15," ")</f>
        <v xml:space="preserve"> </v>
      </c>
      <c r="AK15" s="286" t="str">
        <f>IFERROR(IF(AVERAGE(AH15:AJ15)&gt;=0.8,1,(AVERAGE(AH15:AJ15)*100%)/0.8),"-")</f>
        <v>-</v>
      </c>
      <c r="AL15" s="259" t="str">
        <f>IFERROR(+IF(AK15=100%,L15,(+AK15*L15)),"-")</f>
        <v>-</v>
      </c>
      <c r="AM15" s="621"/>
    </row>
    <row r="16" spans="1:49" x14ac:dyDescent="0.25">
      <c r="G16" s="688" t="s">
        <v>380</v>
      </c>
      <c r="H16" s="689"/>
      <c r="I16" s="689"/>
      <c r="J16" s="690"/>
      <c r="K16" s="286" t="str">
        <f>+I9</f>
        <v>&gt;=0,5</v>
      </c>
      <c r="L16" s="412">
        <v>0.3</v>
      </c>
      <c r="M16" s="368" t="e">
        <f>+S9</f>
        <v>#DIV/0!</v>
      </c>
      <c r="N16" s="286" t="str">
        <f>IFERROR(IF(M16&gt;=0.5,1,(M16*100%)/0.5),"-")</f>
        <v>-</v>
      </c>
      <c r="O16" s="259" t="str">
        <f>+IFERROR(IF(N16=100%,L16,(+N16*L16)),"-")</f>
        <v>-</v>
      </c>
      <c r="T16" s="368" t="e">
        <f>+Z9</f>
        <v>#DIV/0!</v>
      </c>
      <c r="U16" s="286" t="str">
        <f>IFERROR(IF(T16&gt;=0.5,1,(T16*100%)/0.5),"-")</f>
        <v>-</v>
      </c>
      <c r="V16" s="259" t="str">
        <f>+IFERROR(IF(U16=100%,L16,(+U16*L16)),"-")</f>
        <v>-</v>
      </c>
      <c r="AA16" s="368" t="e">
        <f>+AG9</f>
        <v>#DIV/0!</v>
      </c>
      <c r="AB16" s="368" t="e">
        <f>+T16</f>
        <v>#DIV/0!</v>
      </c>
      <c r="AC16" s="286" t="str">
        <f>IFERROR(IF(AA16&gt;=0.5,1,(AA16*100%)/0.5),"-")</f>
        <v>-</v>
      </c>
      <c r="AD16" s="259" t="str">
        <f>IFERROR(+IF(AC16=100%,L16,(+AC16*L16)),"-")</f>
        <v>-</v>
      </c>
      <c r="AE16" s="621"/>
      <c r="AH16" s="368" t="e">
        <f>+AN9</f>
        <v>#DIV/0!</v>
      </c>
      <c r="AI16" s="286" t="e">
        <f>+T16</f>
        <v>#DIV/0!</v>
      </c>
      <c r="AJ16" s="368" t="e">
        <f>+AA16</f>
        <v>#DIV/0!</v>
      </c>
      <c r="AK16" s="286" t="str">
        <f>IFERROR(IF(AVERAGE(AH16:AJ16)&gt;=0.5,1,(AVERAGE(AH16:AJ16)*100%)/0.5),"-")</f>
        <v>-</v>
      </c>
      <c r="AL16" s="259" t="str">
        <f>IFERROR(+IF(AK16=100%,L16,(+AK16*L16)),"-")</f>
        <v>-</v>
      </c>
      <c r="AM16" s="621"/>
    </row>
    <row r="17" spans="12:38" ht="21" x14ac:dyDescent="0.35">
      <c r="L17" s="287">
        <f>SUM(L14:L16)</f>
        <v>0.8</v>
      </c>
      <c r="O17" s="321">
        <f>IFERROR(SUM(O14:O16),"-")</f>
        <v>0</v>
      </c>
      <c r="V17" s="321">
        <f>IFERROR(SUM(V14:V16),"-")</f>
        <v>0</v>
      </c>
      <c r="AC17" s="321">
        <f>IFERROR(SUM(AD14:AD16),"-")</f>
        <v>0</v>
      </c>
      <c r="AL17" s="321">
        <f>IFERROR(SUM(AL14:AL16),"-")</f>
        <v>0</v>
      </c>
    </row>
  </sheetData>
  <mergeCells count="51">
    <mergeCell ref="AO5:AS5"/>
    <mergeCell ref="AT5:AW5"/>
    <mergeCell ref="AM5:AM6"/>
    <mergeCell ref="AN5:AN6"/>
    <mergeCell ref="Y5:Y6"/>
    <mergeCell ref="AE5:AE6"/>
    <mergeCell ref="AF5:AF6"/>
    <mergeCell ref="AU1:AW2"/>
    <mergeCell ref="A2:B3"/>
    <mergeCell ref="C2:AT3"/>
    <mergeCell ref="AU3:AW3"/>
    <mergeCell ref="A4:D4"/>
    <mergeCell ref="A1:B1"/>
    <mergeCell ref="C1:AT1"/>
    <mergeCell ref="A5:A6"/>
    <mergeCell ref="B5:B6"/>
    <mergeCell ref="C5:C6"/>
    <mergeCell ref="D5:D6"/>
    <mergeCell ref="AL5:AL6"/>
    <mergeCell ref="L5:L6"/>
    <mergeCell ref="K5:K6"/>
    <mergeCell ref="Q5:Q6"/>
    <mergeCell ref="J5:J6"/>
    <mergeCell ref="X5:X6"/>
    <mergeCell ref="E5:E6"/>
    <mergeCell ref="Z5:Z6"/>
    <mergeCell ref="AG5:AG6"/>
    <mergeCell ref="R5:R6"/>
    <mergeCell ref="S5:S6"/>
    <mergeCell ref="A7:A9"/>
    <mergeCell ref="B7:B9"/>
    <mergeCell ref="C7:C9"/>
    <mergeCell ref="D7:D9"/>
    <mergeCell ref="E7:E9"/>
    <mergeCell ref="F7:F9"/>
    <mergeCell ref="F5:F6"/>
    <mergeCell ref="G5:G6"/>
    <mergeCell ref="H5:H6"/>
    <mergeCell ref="I5:I6"/>
    <mergeCell ref="AS10:AS11"/>
    <mergeCell ref="A10:L10"/>
    <mergeCell ref="Z10:Z11"/>
    <mergeCell ref="AG10:AG11"/>
    <mergeCell ref="AN10:AN11"/>
    <mergeCell ref="S10:S11"/>
    <mergeCell ref="AM14:AM16"/>
    <mergeCell ref="G13:J13"/>
    <mergeCell ref="G14:J14"/>
    <mergeCell ref="G15:J15"/>
    <mergeCell ref="G16:J16"/>
    <mergeCell ref="AE14:AE16"/>
  </mergeCells>
  <conditionalFormatting sqref="AO7:AS9 AS10">
    <cfRule type="cellIs" dxfId="32" priority="1" operator="lessThan">
      <formula>0.6</formula>
    </cfRule>
    <cfRule type="cellIs" dxfId="31" priority="2" operator="between">
      <formula>60%</formula>
      <formula>79%</formula>
    </cfRule>
    <cfRule type="cellIs" dxfId="30" priority="3" operator="between">
      <formula>80%</formula>
      <formula>100%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dimension ref="A1:AK35"/>
  <sheetViews>
    <sheetView topLeftCell="A11" zoomScale="70" zoomScaleNormal="70" workbookViewId="0">
      <selection activeCell="P4" sqref="P1:AC1048576"/>
    </sheetView>
  </sheetViews>
  <sheetFormatPr baseColWidth="10" defaultRowHeight="15" x14ac:dyDescent="0.25"/>
  <cols>
    <col min="1" max="1" width="21.42578125" customWidth="1"/>
    <col min="2" max="2" width="29.140625" customWidth="1"/>
    <col min="3" max="3" width="30.85546875" customWidth="1"/>
    <col min="4" max="4" width="31" customWidth="1"/>
    <col min="5" max="5" width="20.7109375" customWidth="1"/>
    <col min="6" max="6" width="13.140625" customWidth="1"/>
    <col min="7" max="7" width="21.7109375" style="63" customWidth="1"/>
    <col min="8" max="8" width="25.28515625" style="63" customWidth="1"/>
    <col min="9" max="11" width="14.42578125" customWidth="1"/>
    <col min="12" max="12" width="16.7109375" customWidth="1"/>
    <col min="13" max="13" width="19.42578125" style="63" customWidth="1"/>
    <col min="14" max="14" width="34.140625" customWidth="1"/>
    <col min="15" max="15" width="43.28515625" customWidth="1"/>
    <col min="16" max="16" width="19.42578125" customWidth="1"/>
    <col min="17" max="17" width="19.42578125" style="63" customWidth="1"/>
    <col min="18" max="18" width="34.140625" customWidth="1"/>
    <col min="19" max="19" width="43.28515625" customWidth="1"/>
    <col min="20" max="21" width="19.42578125" customWidth="1"/>
    <col min="22" max="22" width="23.7109375" customWidth="1"/>
    <col min="23" max="23" width="30" customWidth="1"/>
    <col min="24" max="25" width="19.42578125" customWidth="1"/>
    <col min="26" max="26" width="29.42578125" customWidth="1"/>
    <col min="27" max="27" width="23.7109375" customWidth="1"/>
    <col min="28" max="28" width="19.42578125" customWidth="1"/>
    <col min="29" max="33" width="17.7109375" customWidth="1"/>
    <col min="34" max="37" width="26.5703125" customWidth="1"/>
  </cols>
  <sheetData>
    <row r="1" spans="1:37"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15.75" thickBot="1" x14ac:dyDescent="0.3">
      <c r="A4" s="572" t="s">
        <v>193</v>
      </c>
      <c r="B4" s="572"/>
      <c r="C4" s="572"/>
      <c r="D4" s="572"/>
      <c r="E4" s="28"/>
      <c r="F4" s="36"/>
      <c r="G4" s="103"/>
      <c r="H4" s="103"/>
      <c r="I4" s="28"/>
      <c r="J4" s="28"/>
      <c r="K4" s="28"/>
      <c r="L4" s="28"/>
      <c r="M4" s="54"/>
      <c r="N4" s="28"/>
      <c r="O4" s="28"/>
      <c r="P4" s="28"/>
      <c r="Q4" s="54"/>
      <c r="R4" s="28"/>
      <c r="S4" s="28"/>
      <c r="T4" s="28"/>
      <c r="U4" s="54"/>
      <c r="V4" s="28"/>
      <c r="W4" s="28"/>
      <c r="X4" s="28"/>
      <c r="Y4" s="54"/>
      <c r="Z4" s="28"/>
      <c r="AA4" s="28"/>
      <c r="AB4" s="28"/>
      <c r="AC4" s="28"/>
      <c r="AD4" s="28"/>
      <c r="AE4" s="28"/>
      <c r="AF4" s="28"/>
      <c r="AG4" s="28"/>
      <c r="AH4" s="28"/>
      <c r="AI4" s="28"/>
      <c r="AJ4" s="28"/>
      <c r="AK4" s="28"/>
    </row>
    <row r="5" spans="1:37" ht="57" customHeight="1" x14ac:dyDescent="0.25">
      <c r="A5" s="583" t="s">
        <v>1</v>
      </c>
      <c r="B5" s="575" t="s">
        <v>3</v>
      </c>
      <c r="C5" s="575" t="s">
        <v>194</v>
      </c>
      <c r="D5" s="575" t="s">
        <v>195</v>
      </c>
      <c r="E5" s="575" t="s">
        <v>196</v>
      </c>
      <c r="F5" s="581" t="s">
        <v>781</v>
      </c>
      <c r="G5" s="575" t="s">
        <v>228</v>
      </c>
      <c r="H5" s="575" t="s">
        <v>227</v>
      </c>
      <c r="I5" s="575" t="s">
        <v>8</v>
      </c>
      <c r="J5" s="575" t="s">
        <v>481</v>
      </c>
      <c r="K5" s="575" t="s">
        <v>501</v>
      </c>
      <c r="L5" s="646" t="s">
        <v>9</v>
      </c>
      <c r="M5" s="177" t="s">
        <v>389</v>
      </c>
      <c r="N5" s="655" t="s">
        <v>414</v>
      </c>
      <c r="O5" s="573" t="s">
        <v>416</v>
      </c>
      <c r="P5" s="563" t="s">
        <v>776</v>
      </c>
      <c r="Q5" s="177" t="s">
        <v>389</v>
      </c>
      <c r="R5" s="655" t="s">
        <v>414</v>
      </c>
      <c r="S5" s="573" t="s">
        <v>416</v>
      </c>
      <c r="T5" s="563" t="s">
        <v>474</v>
      </c>
      <c r="U5" s="177" t="s">
        <v>389</v>
      </c>
      <c r="V5" s="655" t="s">
        <v>414</v>
      </c>
      <c r="W5" s="573" t="s">
        <v>416</v>
      </c>
      <c r="X5" s="563" t="s">
        <v>477</v>
      </c>
      <c r="Y5" s="177" t="s">
        <v>389</v>
      </c>
      <c r="Z5" s="655" t="s">
        <v>414</v>
      </c>
      <c r="AA5" s="573" t="s">
        <v>416</v>
      </c>
      <c r="AB5" s="563" t="s">
        <v>479</v>
      </c>
      <c r="AC5" s="626" t="s">
        <v>11</v>
      </c>
      <c r="AD5" s="627"/>
      <c r="AE5" s="627"/>
      <c r="AF5" s="627"/>
      <c r="AG5" s="628"/>
      <c r="AH5" s="569" t="s">
        <v>539</v>
      </c>
      <c r="AI5" s="570"/>
      <c r="AJ5" s="570"/>
      <c r="AK5" s="571"/>
    </row>
    <row r="6" spans="1:37" ht="57" customHeight="1" x14ac:dyDescent="0.25">
      <c r="A6" s="584"/>
      <c r="B6" s="514"/>
      <c r="C6" s="514"/>
      <c r="D6" s="514"/>
      <c r="E6" s="514"/>
      <c r="F6" s="582"/>
      <c r="G6" s="514"/>
      <c r="H6" s="514"/>
      <c r="I6" s="514"/>
      <c r="J6" s="514"/>
      <c r="K6" s="514"/>
      <c r="L6" s="647"/>
      <c r="M6" s="141" t="s">
        <v>775</v>
      </c>
      <c r="N6" s="656"/>
      <c r="O6" s="574"/>
      <c r="P6" s="564"/>
      <c r="Q6" s="141" t="s">
        <v>298</v>
      </c>
      <c r="R6" s="656"/>
      <c r="S6" s="574"/>
      <c r="T6" s="564"/>
      <c r="U6" s="141" t="s">
        <v>287</v>
      </c>
      <c r="V6" s="656"/>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37" ht="70.5" customHeight="1" x14ac:dyDescent="0.25">
      <c r="A7" s="715" t="s">
        <v>384</v>
      </c>
      <c r="B7" s="699" t="s">
        <v>385</v>
      </c>
      <c r="C7" s="699" t="s">
        <v>386</v>
      </c>
      <c r="D7" s="699" t="s">
        <v>387</v>
      </c>
      <c r="E7" s="699" t="s">
        <v>388</v>
      </c>
      <c r="F7" s="679">
        <v>0.8</v>
      </c>
      <c r="G7" s="136" t="s">
        <v>392</v>
      </c>
      <c r="H7" s="136" t="s">
        <v>390</v>
      </c>
      <c r="I7" s="65" t="s">
        <v>132</v>
      </c>
      <c r="J7" s="65" t="s">
        <v>483</v>
      </c>
      <c r="K7" s="226" t="s">
        <v>626</v>
      </c>
      <c r="L7" s="176" t="s">
        <v>403</v>
      </c>
      <c r="M7" s="142"/>
      <c r="N7" s="55"/>
      <c r="O7" s="319"/>
      <c r="P7" s="143" t="e">
        <f t="shared" ref="P7:P17" si="0">AVERAGE(M7:M7)</f>
        <v>#DIV/0!</v>
      </c>
      <c r="Q7" s="142"/>
      <c r="R7" s="55"/>
      <c r="S7" s="319"/>
      <c r="T7" s="143" t="e">
        <f t="shared" ref="T7:T17" si="1">AVERAGE(Q7:Q7)</f>
        <v>#DIV/0!</v>
      </c>
      <c r="U7" s="142"/>
      <c r="V7" s="55"/>
      <c r="W7" s="55"/>
      <c r="X7" s="143" t="e">
        <f t="shared" ref="X7:X17" si="2">+AVERAGE(U7:U7)</f>
        <v>#DIV/0!</v>
      </c>
      <c r="Y7" s="142"/>
      <c r="Z7" s="55"/>
      <c r="AA7" s="55"/>
      <c r="AB7" s="143" t="e">
        <f t="shared" ref="AB7:AB17" si="3">+AVERAGE(Y7:Y7)</f>
        <v>#DIV/0!</v>
      </c>
      <c r="AC7" s="25" t="str">
        <f>IFERROR(IF(P7&gt;=0.8,1,(P7*100%)/0.8),"-")</f>
        <v>-</v>
      </c>
      <c r="AD7" s="25" t="str">
        <f>IFERROR(IF(T7&gt;=0.8,1,(T7*100%)/0.8),"-")</f>
        <v>-</v>
      </c>
      <c r="AE7" s="25" t="str">
        <f>IFERROR(IF(X7&gt;=0.8,1,(X7*100%)/0.8),"-")</f>
        <v>-</v>
      </c>
      <c r="AF7" s="25" t="str">
        <f>IFERROR(IF(AB7&gt;=0.8,1,(AB7*100%)/0.8),"-")</f>
        <v>-</v>
      </c>
      <c r="AG7" s="157" t="str">
        <f>IFERROR(AVERAGE(AC7:AF7),"-")</f>
        <v>-</v>
      </c>
      <c r="AH7" s="161"/>
      <c r="AI7" s="33"/>
      <c r="AJ7" s="34"/>
      <c r="AK7" s="162"/>
    </row>
    <row r="8" spans="1:37" ht="50.25" customHeight="1" x14ac:dyDescent="0.25">
      <c r="A8" s="716"/>
      <c r="B8" s="677"/>
      <c r="C8" s="677"/>
      <c r="D8" s="677"/>
      <c r="E8" s="677"/>
      <c r="F8" s="680"/>
      <c r="G8" s="136" t="s">
        <v>806</v>
      </c>
      <c r="H8" s="136" t="s">
        <v>807</v>
      </c>
      <c r="I8" s="65" t="s">
        <v>804</v>
      </c>
      <c r="J8" s="65" t="s">
        <v>483</v>
      </c>
      <c r="K8" s="227" t="s">
        <v>808</v>
      </c>
      <c r="L8" s="176" t="s">
        <v>403</v>
      </c>
      <c r="M8" s="142"/>
      <c r="N8" s="55"/>
      <c r="O8" s="319"/>
      <c r="P8" s="143" t="e">
        <f t="shared" si="0"/>
        <v>#DIV/0!</v>
      </c>
      <c r="Q8" s="142"/>
      <c r="R8" s="55"/>
      <c r="S8" s="319"/>
      <c r="T8" s="143" t="e">
        <f t="shared" si="1"/>
        <v>#DIV/0!</v>
      </c>
      <c r="U8" s="142"/>
      <c r="V8" s="55"/>
      <c r="W8" s="55"/>
      <c r="X8" s="143" t="e">
        <f t="shared" si="2"/>
        <v>#DIV/0!</v>
      </c>
      <c r="Y8" s="142"/>
      <c r="Z8" s="55"/>
      <c r="AA8" s="55"/>
      <c r="AB8" s="143" t="e">
        <f t="shared" si="3"/>
        <v>#DIV/0!</v>
      </c>
      <c r="AC8" s="25" t="str">
        <f>IFERROR(IF(P8&gt;=0.2,1,(P8*100%)/0.2),"-")</f>
        <v>-</v>
      </c>
      <c r="AD8" s="25" t="str">
        <f>IFERROR(IF(T8&gt;=0.2,1,(T8*100%)/0.2),"-")</f>
        <v>-</v>
      </c>
      <c r="AE8" s="25" t="str">
        <f>IFERROR(IF(X8&gt;=0.2,1,(X8*100%)/0.2),"-")</f>
        <v>-</v>
      </c>
      <c r="AF8" s="25" t="str">
        <f>IFERROR(IF(AB8&gt;=0.2,1,(AB8*100%)/0.2),"-")</f>
        <v>-</v>
      </c>
      <c r="AG8" s="157" t="str">
        <f>IFERROR(AVERAGE(AC8:AF8),"-")</f>
        <v>-</v>
      </c>
      <c r="AH8" s="161"/>
      <c r="AI8" s="33"/>
      <c r="AJ8" s="34"/>
      <c r="AK8" s="162"/>
    </row>
    <row r="9" spans="1:37" ht="59.25" customHeight="1" x14ac:dyDescent="0.25">
      <c r="A9" s="716"/>
      <c r="B9" s="677"/>
      <c r="C9" s="677"/>
      <c r="D9" s="677"/>
      <c r="E9" s="677"/>
      <c r="F9" s="680"/>
      <c r="G9" s="136" t="s">
        <v>809</v>
      </c>
      <c r="H9" s="136" t="s">
        <v>810</v>
      </c>
      <c r="I9" s="65" t="s">
        <v>141</v>
      </c>
      <c r="J9" s="65" t="s">
        <v>483</v>
      </c>
      <c r="K9" s="227" t="s">
        <v>811</v>
      </c>
      <c r="L9" s="176" t="s">
        <v>403</v>
      </c>
      <c r="M9" s="142"/>
      <c r="N9" s="55"/>
      <c r="O9" s="319"/>
      <c r="P9" s="143" t="e">
        <f t="shared" si="0"/>
        <v>#DIV/0!</v>
      </c>
      <c r="Q9" s="142"/>
      <c r="R9" s="55"/>
      <c r="S9" s="319"/>
      <c r="T9" s="143" t="e">
        <f t="shared" si="1"/>
        <v>#DIV/0!</v>
      </c>
      <c r="U9" s="142"/>
      <c r="V9" s="55"/>
      <c r="W9" s="55"/>
      <c r="X9" s="143" t="e">
        <f t="shared" si="2"/>
        <v>#DIV/0!</v>
      </c>
      <c r="Y9" s="142"/>
      <c r="Z9" s="55"/>
      <c r="AA9" s="55"/>
      <c r="AB9" s="143" t="e">
        <f t="shared" si="3"/>
        <v>#DIV/0!</v>
      </c>
      <c r="AC9" s="25" t="str">
        <f>IFERROR(IF(P9&gt;=0.9,1,(P9*100%)/0.9),"-")</f>
        <v>-</v>
      </c>
      <c r="AD9" s="25" t="str">
        <f>IFERROR(IF(T9&gt;=0.9,1,(T9*100%)/0.9),"-")</f>
        <v>-</v>
      </c>
      <c r="AE9" s="25" t="str">
        <f>IFERROR(IF(X9&gt;=0.9,1,(X9*100%)/0.9),"-")</f>
        <v>-</v>
      </c>
      <c r="AF9" s="25" t="str">
        <f>IFERROR(IF(AB9&gt;=0.9,1,(AB9*100%)/0.9),"-")</f>
        <v>-</v>
      </c>
      <c r="AG9" s="157" t="str">
        <f>IFERROR(AVERAGE(AC9:AF9),"-")</f>
        <v>-</v>
      </c>
      <c r="AH9" s="161"/>
      <c r="AI9" s="33"/>
      <c r="AJ9" s="34"/>
      <c r="AK9" s="162"/>
    </row>
    <row r="10" spans="1:37" ht="64.5" customHeight="1" x14ac:dyDescent="0.25">
      <c r="A10" s="716"/>
      <c r="B10" s="586"/>
      <c r="C10" s="677"/>
      <c r="D10" s="677"/>
      <c r="E10" s="677"/>
      <c r="F10" s="680"/>
      <c r="G10" s="136" t="s">
        <v>391</v>
      </c>
      <c r="H10" s="136" t="s">
        <v>393</v>
      </c>
      <c r="I10" s="65" t="s">
        <v>132</v>
      </c>
      <c r="J10" s="102" t="s">
        <v>485</v>
      </c>
      <c r="K10" s="232" t="s">
        <v>627</v>
      </c>
      <c r="L10" s="176" t="s">
        <v>403</v>
      </c>
      <c r="M10" s="142"/>
      <c r="N10" s="55"/>
      <c r="O10" s="55"/>
      <c r="P10" s="143" t="e">
        <f t="shared" si="0"/>
        <v>#DIV/0!</v>
      </c>
      <c r="Q10" s="142"/>
      <c r="R10" s="55"/>
      <c r="S10" s="55"/>
      <c r="T10" s="143" t="e">
        <f t="shared" si="1"/>
        <v>#DIV/0!</v>
      </c>
      <c r="U10" s="142"/>
      <c r="V10" s="7"/>
      <c r="W10" s="55"/>
      <c r="X10" s="143" t="e">
        <f t="shared" si="2"/>
        <v>#DIV/0!</v>
      </c>
      <c r="Y10" s="142"/>
      <c r="Z10" s="7"/>
      <c r="AA10" s="7"/>
      <c r="AB10" s="143" t="e">
        <f t="shared" si="3"/>
        <v>#DIV/0!</v>
      </c>
      <c r="AC10" s="25" t="str">
        <f>IFERROR(IF(P10&gt;=0.8,1,(P10*100%)/0.8),"-")</f>
        <v>-</v>
      </c>
      <c r="AD10" s="25" t="str">
        <f>IFERROR(IF(T10&gt;=0.8,1,(T10*100%)/0.8),"-")</f>
        <v>-</v>
      </c>
      <c r="AE10" s="25" t="str">
        <f>IFERROR(IF(X10&gt;=0.8,1,(X10*100%)/0.8),"-")</f>
        <v>-</v>
      </c>
      <c r="AF10" s="25" t="str">
        <f>IFERROR(IF(AB10&gt;=0.8,1,(AB10*100%)/0.8),"-")</f>
        <v>-</v>
      </c>
      <c r="AG10" s="157" t="str">
        <f>IFERROR(AVERAGE(AC10:AF10),"-")</f>
        <v>-</v>
      </c>
      <c r="AH10" s="163"/>
      <c r="AI10" s="29"/>
      <c r="AJ10" s="27"/>
      <c r="AK10" s="164"/>
    </row>
    <row r="11" spans="1:37" ht="104.25" customHeight="1" x14ac:dyDescent="0.25">
      <c r="A11" s="716"/>
      <c r="B11" s="586"/>
      <c r="C11" s="677"/>
      <c r="D11" s="677"/>
      <c r="E11" s="677"/>
      <c r="F11" s="680"/>
      <c r="G11" s="136" t="s">
        <v>687</v>
      </c>
      <c r="H11" s="136" t="s">
        <v>394</v>
      </c>
      <c r="I11" s="65" t="s">
        <v>537</v>
      </c>
      <c r="J11" s="102" t="s">
        <v>485</v>
      </c>
      <c r="K11" s="232" t="s">
        <v>628</v>
      </c>
      <c r="L11" s="176" t="s">
        <v>403</v>
      </c>
      <c r="M11" s="142"/>
      <c r="N11" s="55"/>
      <c r="O11" s="55"/>
      <c r="P11" s="143" t="e">
        <f t="shared" si="0"/>
        <v>#DIV/0!</v>
      </c>
      <c r="Q11" s="142"/>
      <c r="R11" s="55"/>
      <c r="S11" s="55"/>
      <c r="T11" s="143" t="e">
        <f t="shared" si="1"/>
        <v>#DIV/0!</v>
      </c>
      <c r="U11" s="142"/>
      <c r="V11" s="7"/>
      <c r="W11" s="55"/>
      <c r="X11" s="143" t="e">
        <f t="shared" si="2"/>
        <v>#DIV/0!</v>
      </c>
      <c r="Y11" s="361"/>
      <c r="Z11" s="7"/>
      <c r="AA11" s="7"/>
      <c r="AB11" s="143" t="e">
        <f t="shared" si="3"/>
        <v>#DIV/0!</v>
      </c>
      <c r="AC11" s="25" t="str">
        <f>IFERROR(IF(P11&gt;=0.7,1,(P11*100%)/0.7),"-")</f>
        <v>-</v>
      </c>
      <c r="AD11" s="25" t="str">
        <f>IFERROR(IF(T11&gt;=0.7,1,(T11*100%)/0.7),"-")</f>
        <v>-</v>
      </c>
      <c r="AE11" s="25" t="str">
        <f>IFERROR(IF(X11&gt;=0.7,1,(X11*100%)/0.7),"-")</f>
        <v>-</v>
      </c>
      <c r="AF11" s="25" t="str">
        <f>IFERROR(IF(AB11&gt;=0.7,1,(AB11*100%)/0.7),"-")</f>
        <v>-</v>
      </c>
      <c r="AG11" s="157" t="str">
        <f t="shared" ref="AG11:AG16" si="4">IFERROR(AVERAGE(AC11:AF11),"-")</f>
        <v>-</v>
      </c>
      <c r="AH11" s="163"/>
      <c r="AI11" s="29"/>
      <c r="AJ11" s="27"/>
      <c r="AK11" s="164"/>
    </row>
    <row r="12" spans="1:37" ht="65.25" customHeight="1" x14ac:dyDescent="0.25">
      <c r="A12" s="716"/>
      <c r="B12" s="586"/>
      <c r="C12" s="677"/>
      <c r="D12" s="677"/>
      <c r="E12" s="677"/>
      <c r="F12" s="680"/>
      <c r="G12" s="136" t="s">
        <v>396</v>
      </c>
      <c r="H12" s="136" t="s">
        <v>397</v>
      </c>
      <c r="I12" s="65" t="s">
        <v>141</v>
      </c>
      <c r="J12" s="102" t="s">
        <v>485</v>
      </c>
      <c r="K12" s="232" t="s">
        <v>629</v>
      </c>
      <c r="L12" s="176" t="s">
        <v>403</v>
      </c>
      <c r="M12" s="142"/>
      <c r="N12" s="55"/>
      <c r="O12" s="55"/>
      <c r="P12" s="143" t="e">
        <f t="shared" si="0"/>
        <v>#DIV/0!</v>
      </c>
      <c r="Q12" s="142"/>
      <c r="R12" s="55"/>
      <c r="S12" s="55"/>
      <c r="T12" s="143" t="e">
        <f t="shared" si="1"/>
        <v>#DIV/0!</v>
      </c>
      <c r="U12" s="142"/>
      <c r="V12" s="7"/>
      <c r="W12" s="55"/>
      <c r="X12" s="143" t="e">
        <f t="shared" si="2"/>
        <v>#DIV/0!</v>
      </c>
      <c r="Y12" s="361"/>
      <c r="Z12" s="7"/>
      <c r="AA12" s="7"/>
      <c r="AB12" s="143" t="e">
        <f t="shared" si="3"/>
        <v>#DIV/0!</v>
      </c>
      <c r="AC12" s="25" t="str">
        <f>IFERROR(IF(P12&gt;=0.9,1,(P12*100%)/0.9),"-")</f>
        <v>-</v>
      </c>
      <c r="AD12" s="25" t="str">
        <f>IFERROR(IF(T12&gt;=0.9,1,(T12*100%)/0.9),"-")</f>
        <v>-</v>
      </c>
      <c r="AE12" s="25" t="str">
        <f>IFERROR(IF(X12&gt;=0.9,1,(X12*100%)/0.9),"-")</f>
        <v>-</v>
      </c>
      <c r="AF12" s="25" t="str">
        <f>IFERROR(IF(AB12&gt;=0.9,1,(AB12*100%)/0.9),"-")</f>
        <v>-</v>
      </c>
      <c r="AG12" s="157" t="str">
        <f t="shared" ref="AG12:AG14" si="5">IFERROR(AVERAGE(AC12:AF12),"-")</f>
        <v>-</v>
      </c>
      <c r="AH12" s="163"/>
      <c r="AI12" s="29"/>
      <c r="AJ12" s="27"/>
      <c r="AK12" s="164"/>
    </row>
    <row r="13" spans="1:37" ht="72" customHeight="1" x14ac:dyDescent="0.25">
      <c r="A13" s="716"/>
      <c r="B13" s="586"/>
      <c r="C13" s="677"/>
      <c r="D13" s="677"/>
      <c r="E13" s="677"/>
      <c r="F13" s="680"/>
      <c r="G13" s="136" t="s">
        <v>802</v>
      </c>
      <c r="H13" s="136" t="s">
        <v>803</v>
      </c>
      <c r="I13" s="65" t="s">
        <v>804</v>
      </c>
      <c r="J13" s="102" t="s">
        <v>483</v>
      </c>
      <c r="K13" s="232" t="s">
        <v>805</v>
      </c>
      <c r="L13" s="176" t="s">
        <v>403</v>
      </c>
      <c r="M13" s="142"/>
      <c r="N13" s="55"/>
      <c r="O13" s="55"/>
      <c r="P13" s="143" t="e">
        <f t="shared" si="0"/>
        <v>#DIV/0!</v>
      </c>
      <c r="Q13" s="142"/>
      <c r="R13" s="55"/>
      <c r="S13" s="55"/>
      <c r="T13" s="143" t="e">
        <f t="shared" si="1"/>
        <v>#DIV/0!</v>
      </c>
      <c r="U13" s="142"/>
      <c r="V13" s="7"/>
      <c r="W13" s="55"/>
      <c r="X13" s="143" t="e">
        <f t="shared" si="2"/>
        <v>#DIV/0!</v>
      </c>
      <c r="Y13" s="361"/>
      <c r="Z13" s="7"/>
      <c r="AA13" s="7"/>
      <c r="AB13" s="143" t="e">
        <f t="shared" si="3"/>
        <v>#DIV/0!</v>
      </c>
      <c r="AC13" s="25" t="str">
        <f>IFERROR(IF(P13&gt;=0.2,1,(P13*100%)/0.2),"-")</f>
        <v>-</v>
      </c>
      <c r="AD13" s="25" t="str">
        <f>IFERROR(IF(T13&gt;=0.2,1,(T13*100%)/0.2),"-")</f>
        <v>-</v>
      </c>
      <c r="AE13" s="25" t="str">
        <f>IFERROR(IF(X13&gt;=0.2,1,(X13*100%)/0.2),"-")</f>
        <v>-</v>
      </c>
      <c r="AF13" s="25" t="str">
        <f>IFERROR(IF(AB13&gt;=0.2,1,(AB13*100%)/0.2),"-")</f>
        <v>-</v>
      </c>
      <c r="AG13" s="157" t="str">
        <f t="shared" si="5"/>
        <v>-</v>
      </c>
      <c r="AH13" s="163"/>
      <c r="AI13" s="29"/>
      <c r="AJ13" s="27"/>
      <c r="AK13" s="164"/>
    </row>
    <row r="14" spans="1:37" ht="91.5" customHeight="1" x14ac:dyDescent="0.25">
      <c r="A14" s="716"/>
      <c r="B14" s="586"/>
      <c r="C14" s="677"/>
      <c r="D14" s="677"/>
      <c r="E14" s="677"/>
      <c r="F14" s="680"/>
      <c r="G14" s="136" t="s">
        <v>812</v>
      </c>
      <c r="H14" s="136" t="s">
        <v>395</v>
      </c>
      <c r="I14" s="65" t="s">
        <v>537</v>
      </c>
      <c r="J14" s="102" t="s">
        <v>485</v>
      </c>
      <c r="K14" s="232" t="s">
        <v>813</v>
      </c>
      <c r="L14" s="176" t="s">
        <v>403</v>
      </c>
      <c r="M14" s="142"/>
      <c r="N14" s="55"/>
      <c r="O14" s="55"/>
      <c r="P14" s="143" t="e">
        <f t="shared" si="0"/>
        <v>#DIV/0!</v>
      </c>
      <c r="Q14" s="142"/>
      <c r="R14" s="55"/>
      <c r="S14" s="55"/>
      <c r="T14" s="143" t="e">
        <f t="shared" si="1"/>
        <v>#DIV/0!</v>
      </c>
      <c r="U14" s="142"/>
      <c r="V14" s="7"/>
      <c r="W14" s="55"/>
      <c r="X14" s="143" t="e">
        <f t="shared" si="2"/>
        <v>#DIV/0!</v>
      </c>
      <c r="Y14" s="361"/>
      <c r="Z14" s="7"/>
      <c r="AA14" s="7"/>
      <c r="AB14" s="143" t="e">
        <f t="shared" si="3"/>
        <v>#DIV/0!</v>
      </c>
      <c r="AC14" s="25" t="str">
        <f>IFERROR(IF(P14&gt;=0.7,1,(P14*100%)/0.7),"-")</f>
        <v>-</v>
      </c>
      <c r="AD14" s="25" t="str">
        <f>IFERROR(IF(T14&gt;=0.7,1,(T14*100%)/0.7),"-")</f>
        <v>-</v>
      </c>
      <c r="AE14" s="25" t="str">
        <f>IFERROR(IF(X14&gt;=0.7,1,(X14*100%)/0.7),"-")</f>
        <v>-</v>
      </c>
      <c r="AF14" s="25" t="str">
        <f>IFERROR(IF(AB14&gt;=0.7,1,(AB14*100%)/0.7),"-")</f>
        <v>-</v>
      </c>
      <c r="AG14" s="157" t="str">
        <f t="shared" si="5"/>
        <v>-</v>
      </c>
      <c r="AH14" s="163"/>
      <c r="AI14" s="29"/>
      <c r="AJ14" s="27"/>
      <c r="AK14" s="164"/>
    </row>
    <row r="15" spans="1:37" ht="71.25" customHeight="1" x14ac:dyDescent="0.25">
      <c r="A15" s="716"/>
      <c r="B15" s="586"/>
      <c r="C15" s="677"/>
      <c r="D15" s="677"/>
      <c r="E15" s="677"/>
      <c r="F15" s="680"/>
      <c r="G15" s="136" t="s">
        <v>398</v>
      </c>
      <c r="H15" s="136" t="s">
        <v>397</v>
      </c>
      <c r="I15" s="102">
        <v>0.9</v>
      </c>
      <c r="J15" s="102" t="s">
        <v>485</v>
      </c>
      <c r="K15" s="232" t="s">
        <v>629</v>
      </c>
      <c r="L15" s="176" t="s">
        <v>403</v>
      </c>
      <c r="M15" s="142"/>
      <c r="N15" s="55"/>
      <c r="O15" s="55"/>
      <c r="P15" s="143" t="e">
        <f t="shared" si="0"/>
        <v>#DIV/0!</v>
      </c>
      <c r="Q15" s="142"/>
      <c r="R15" s="55"/>
      <c r="S15" s="55"/>
      <c r="T15" s="143" t="e">
        <f t="shared" si="1"/>
        <v>#DIV/0!</v>
      </c>
      <c r="U15" s="142"/>
      <c r="V15" s="7"/>
      <c r="W15" s="55"/>
      <c r="X15" s="143" t="e">
        <f t="shared" si="2"/>
        <v>#DIV/0!</v>
      </c>
      <c r="Y15" s="142"/>
      <c r="Z15" s="7"/>
      <c r="AA15" s="7"/>
      <c r="AB15" s="143" t="e">
        <f t="shared" si="3"/>
        <v>#DIV/0!</v>
      </c>
      <c r="AC15" s="25" t="str">
        <f>IFERROR(IF(P15&gt;=0.9,1,(P15*100%)/0.9),"-")</f>
        <v>-</v>
      </c>
      <c r="AD15" s="25" t="str">
        <f>IFERROR(IF(T15&gt;=0.9,1,(T15*100%)/0.9),"-")</f>
        <v>-</v>
      </c>
      <c r="AE15" s="25" t="str">
        <f>IFERROR(IF(X15&gt;=0.9,1,(X15*100%)/0.9),"-")</f>
        <v>-</v>
      </c>
      <c r="AF15" s="25" t="str">
        <f>IFERROR(IF(AB15&gt;=0.9,1,(AB15*100%)/0.9),"-")</f>
        <v>-</v>
      </c>
      <c r="AG15" s="157" t="str">
        <f t="shared" si="4"/>
        <v>-</v>
      </c>
      <c r="AH15" s="163"/>
      <c r="AI15" s="29"/>
      <c r="AJ15" s="27"/>
      <c r="AK15" s="164"/>
    </row>
    <row r="16" spans="1:37" ht="74.25" customHeight="1" x14ac:dyDescent="0.25">
      <c r="A16" s="716"/>
      <c r="B16" s="586"/>
      <c r="C16" s="677"/>
      <c r="D16" s="677"/>
      <c r="E16" s="677"/>
      <c r="F16" s="680"/>
      <c r="G16" s="136" t="s">
        <v>399</v>
      </c>
      <c r="H16" s="136" t="s">
        <v>400</v>
      </c>
      <c r="I16" s="102">
        <v>0.9</v>
      </c>
      <c r="J16" s="102" t="s">
        <v>485</v>
      </c>
      <c r="K16" s="232" t="s">
        <v>629</v>
      </c>
      <c r="L16" s="176" t="s">
        <v>403</v>
      </c>
      <c r="M16" s="142"/>
      <c r="N16" s="55"/>
      <c r="O16" s="55"/>
      <c r="P16" s="143" t="e">
        <f t="shared" si="0"/>
        <v>#DIV/0!</v>
      </c>
      <c r="Q16" s="142"/>
      <c r="R16" s="55"/>
      <c r="S16" s="55"/>
      <c r="T16" s="143" t="e">
        <f t="shared" si="1"/>
        <v>#DIV/0!</v>
      </c>
      <c r="U16" s="142"/>
      <c r="V16" s="7"/>
      <c r="W16" s="55"/>
      <c r="X16" s="143" t="e">
        <f t="shared" si="2"/>
        <v>#DIV/0!</v>
      </c>
      <c r="Y16" s="142"/>
      <c r="Z16" s="55"/>
      <c r="AA16" s="7"/>
      <c r="AB16" s="143" t="e">
        <f t="shared" si="3"/>
        <v>#DIV/0!</v>
      </c>
      <c r="AC16" s="25" t="str">
        <f>IFERROR(IF(P16&gt;=0.9,1,(P16*100%)/0.9),"-")</f>
        <v>-</v>
      </c>
      <c r="AD16" s="25" t="str">
        <f>IFERROR(IF(T16&gt;=0.9,1,(T16*100%)/0.9),"-")</f>
        <v>-</v>
      </c>
      <c r="AE16" s="25" t="str">
        <f>IFERROR(IF(X16&gt;=0.9,1,(X16*100%)/0.9),"-")</f>
        <v>-</v>
      </c>
      <c r="AF16" s="25" t="str">
        <f>IFERROR(IF(AB16&gt;=0.9,1,(AB16*100%)/0.9),"-")</f>
        <v>-</v>
      </c>
      <c r="AG16" s="157" t="str">
        <f t="shared" si="4"/>
        <v>-</v>
      </c>
      <c r="AH16" s="163"/>
      <c r="AI16" s="29"/>
      <c r="AJ16" s="27"/>
      <c r="AK16" s="164"/>
    </row>
    <row r="17" spans="1:37" ht="76.5" customHeight="1" x14ac:dyDescent="0.25">
      <c r="A17" s="716"/>
      <c r="B17" s="586"/>
      <c r="C17" s="677"/>
      <c r="D17" s="677"/>
      <c r="E17" s="677"/>
      <c r="F17" s="680"/>
      <c r="G17" s="74" t="s">
        <v>401</v>
      </c>
      <c r="H17" s="136" t="s">
        <v>402</v>
      </c>
      <c r="I17" s="102">
        <v>0.3</v>
      </c>
      <c r="J17" s="102" t="s">
        <v>485</v>
      </c>
      <c r="K17" s="232" t="s">
        <v>628</v>
      </c>
      <c r="L17" s="176" t="s">
        <v>403</v>
      </c>
      <c r="M17" s="142"/>
      <c r="N17" s="7"/>
      <c r="O17" s="55"/>
      <c r="P17" s="143" t="e">
        <f t="shared" si="0"/>
        <v>#DIV/0!</v>
      </c>
      <c r="Q17" s="142"/>
      <c r="R17" s="7"/>
      <c r="S17" s="55"/>
      <c r="T17" s="143" t="e">
        <f t="shared" si="1"/>
        <v>#DIV/0!</v>
      </c>
      <c r="U17" s="142"/>
      <c r="V17" s="7"/>
      <c r="W17" s="55"/>
      <c r="X17" s="143" t="e">
        <f t="shared" si="2"/>
        <v>#DIV/0!</v>
      </c>
      <c r="Y17" s="142"/>
      <c r="Z17" s="7"/>
      <c r="AA17" s="7"/>
      <c r="AB17" s="143" t="e">
        <f t="shared" si="3"/>
        <v>#DIV/0!</v>
      </c>
      <c r="AC17" s="25" t="str">
        <f>IFERROR(IF(P17&gt;=0.3,1,(P17*100%)/0.3),"-")</f>
        <v>-</v>
      </c>
      <c r="AD17" s="25" t="str">
        <f>IFERROR(IF(T17&gt;=0.3,1,(T17*100%)/0.3),"-")</f>
        <v>-</v>
      </c>
      <c r="AE17" s="25" t="str">
        <f>IFERROR(IF(X17&gt;=0.3,1,(X17*100%)/0.3),"-")</f>
        <v>-</v>
      </c>
      <c r="AF17" s="25" t="str">
        <f>IFERROR(IF(AB17&gt;=0.3,1,(AB17*100%)/0.3),"-")</f>
        <v>-</v>
      </c>
      <c r="AG17" s="157" t="str">
        <f>IFERROR(AVERAGE(AC17:AF17),"-")</f>
        <v>-</v>
      </c>
      <c r="AH17" s="163"/>
      <c r="AI17" s="29"/>
      <c r="AJ17" s="27"/>
      <c r="AK17" s="193"/>
    </row>
    <row r="18" spans="1:37" ht="26.25" thickBot="1" x14ac:dyDescent="0.3">
      <c r="A18" s="629" t="s">
        <v>293</v>
      </c>
      <c r="B18" s="630"/>
      <c r="C18" s="630"/>
      <c r="D18" s="630"/>
      <c r="E18" s="630"/>
      <c r="F18" s="630"/>
      <c r="G18" s="630"/>
      <c r="H18" s="630"/>
      <c r="I18" s="630"/>
      <c r="J18" s="630"/>
      <c r="K18" s="631"/>
      <c r="L18" s="631"/>
      <c r="M18" s="312" t="str">
        <f>IFERROR(AVERAGE(M7:M17),"-")</f>
        <v>-</v>
      </c>
      <c r="N18" s="147"/>
      <c r="O18" s="118"/>
      <c r="P18" s="619" t="e">
        <f>+AVERAGE(P7:P17)</f>
        <v>#DIV/0!</v>
      </c>
      <c r="Q18" s="312" t="str">
        <f>IFERROR(AVERAGE(Q7:Q17),"-")</f>
        <v>-</v>
      </c>
      <c r="R18" s="147"/>
      <c r="S18" s="118"/>
      <c r="T18" s="619" t="e">
        <f>+AVERAGE(T7:T17)</f>
        <v>#DIV/0!</v>
      </c>
      <c r="U18" s="234" t="str">
        <f>IFERROR(AVERAGE(U7:U17),"-")</f>
        <v>-</v>
      </c>
      <c r="V18" s="118"/>
      <c r="W18" s="118"/>
      <c r="X18" s="619" t="str">
        <f>IFERROR(AVERAGE(X7:X17),"-")</f>
        <v>-</v>
      </c>
      <c r="Y18" s="170" t="str">
        <f>IFERROR(AVERAGE(Y7:Y17),"-")</f>
        <v>-</v>
      </c>
      <c r="Z18" s="147"/>
      <c r="AA18" s="118"/>
      <c r="AB18" s="619" t="str">
        <f t="shared" ref="AB18:AG18" si="6">IFERROR(AVERAGE(AB7:AB17),"-")</f>
        <v>-</v>
      </c>
      <c r="AC18" s="170" t="str">
        <f t="shared" si="6"/>
        <v>-</v>
      </c>
      <c r="AD18" s="171" t="str">
        <f>IFERROR(AVERAGE(AD7:AD17),"-")</f>
        <v>-</v>
      </c>
      <c r="AE18" s="171" t="str">
        <f t="shared" si="6"/>
        <v>-</v>
      </c>
      <c r="AF18" s="56" t="str">
        <f t="shared" si="6"/>
        <v>-</v>
      </c>
      <c r="AG18" s="695" t="str">
        <f t="shared" si="6"/>
        <v>-</v>
      </c>
      <c r="AH18" s="165"/>
      <c r="AI18" s="166"/>
      <c r="AJ18" s="167"/>
      <c r="AK18" s="168"/>
    </row>
    <row r="19" spans="1:37" ht="27" thickBot="1" x14ac:dyDescent="0.3">
      <c r="A19" s="28"/>
      <c r="B19" s="28"/>
      <c r="C19" s="28"/>
      <c r="D19" s="28"/>
      <c r="E19" s="28"/>
      <c r="F19" s="36"/>
      <c r="G19" s="103"/>
      <c r="H19" s="103"/>
      <c r="I19" s="28"/>
      <c r="J19" s="28"/>
      <c r="K19" s="28"/>
      <c r="L19" s="28"/>
      <c r="M19" s="197"/>
      <c r="N19" s="174"/>
      <c r="O19" s="187" t="s">
        <v>795</v>
      </c>
      <c r="P19" s="620"/>
      <c r="Q19" s="197"/>
      <c r="R19" s="174"/>
      <c r="S19" s="187" t="s">
        <v>313</v>
      </c>
      <c r="T19" s="620"/>
      <c r="U19" s="235"/>
      <c r="V19" s="187"/>
      <c r="W19" s="186" t="s">
        <v>296</v>
      </c>
      <c r="X19" s="620"/>
      <c r="Y19" s="195"/>
      <c r="Z19" s="203"/>
      <c r="AA19" s="189" t="s">
        <v>297</v>
      </c>
      <c r="AB19" s="620"/>
      <c r="AC19" s="172"/>
      <c r="AD19" s="173"/>
      <c r="AE19" s="173"/>
      <c r="AF19" s="189" t="s">
        <v>294</v>
      </c>
      <c r="AG19" s="696"/>
      <c r="AH19" s="28"/>
      <c r="AI19" s="28"/>
      <c r="AJ19" s="28"/>
      <c r="AK19" s="28"/>
    </row>
    <row r="21" spans="1:37" ht="45" x14ac:dyDescent="0.25">
      <c r="G21" s="473" t="s">
        <v>561</v>
      </c>
      <c r="H21" s="474"/>
      <c r="I21" s="474"/>
      <c r="J21" s="475"/>
      <c r="K21" s="255" t="s">
        <v>558</v>
      </c>
      <c r="L21" s="273" t="s">
        <v>559</v>
      </c>
      <c r="M21" s="256" t="s">
        <v>563</v>
      </c>
      <c r="N21" s="256" t="s">
        <v>564</v>
      </c>
      <c r="O21" s="257" t="s">
        <v>562</v>
      </c>
      <c r="Q21" s="256" t="s">
        <v>563</v>
      </c>
      <c r="R21" s="349" t="s">
        <v>695</v>
      </c>
      <c r="S21" s="256" t="s">
        <v>564</v>
      </c>
      <c r="T21" s="257" t="s">
        <v>562</v>
      </c>
    </row>
    <row r="22" spans="1:37" x14ac:dyDescent="0.25">
      <c r="G22" s="366" t="s">
        <v>607</v>
      </c>
      <c r="H22" s="341"/>
      <c r="I22" s="341"/>
      <c r="J22" s="342"/>
      <c r="K22" s="286" t="s">
        <v>141</v>
      </c>
      <c r="L22" s="412">
        <v>0.6</v>
      </c>
      <c r="M22" s="286" t="e">
        <f>+AVERAGE(P7:P16)</f>
        <v>#DIV/0!</v>
      </c>
      <c r="N22" s="286" t="str">
        <f>IFERROR(IF(M22&gt;=0.9,1,(M22*100%)/0.9),"-")</f>
        <v>-</v>
      </c>
      <c r="O22" s="259" t="str">
        <f>IFERROR(+IF(N22=100%,L22,(+N22*L22)),"-")</f>
        <v>-</v>
      </c>
      <c r="Q22" s="286" t="e">
        <f>+AVERAGE(T7:T16)</f>
        <v>#DIV/0!</v>
      </c>
      <c r="R22" s="286" t="e">
        <f>+M22</f>
        <v>#DIV/0!</v>
      </c>
      <c r="S22" s="286" t="str">
        <f>IFERROR(IF(AVERAGE(Q22,R22)&gt;=0.9,1,(AVERAGE(Q22,R22)*100%)/0.9),"-")</f>
        <v>-</v>
      </c>
      <c r="T22" s="259" t="str">
        <f>IFERROR(+IF(S22=100%,L22,(+S22*L22)),"-")</f>
        <v>-</v>
      </c>
    </row>
    <row r="23" spans="1:37" x14ac:dyDescent="0.25">
      <c r="G23" s="366" t="s">
        <v>401</v>
      </c>
      <c r="H23" s="341"/>
      <c r="I23" s="341"/>
      <c r="J23" s="342"/>
      <c r="K23" s="286">
        <v>0.3</v>
      </c>
      <c r="L23" s="412">
        <v>0.2</v>
      </c>
      <c r="M23" s="286" t="e">
        <f>+P17</f>
        <v>#DIV/0!</v>
      </c>
      <c r="N23" s="286" t="str">
        <f>IFERROR(IF(M23&gt;=0.3,1,(M23*100%)/0.3),"-")</f>
        <v>-</v>
      </c>
      <c r="O23" s="259" t="str">
        <f>IFERROR(+IF(N23=100%,L23,(+N23*L23)),"-")</f>
        <v>-</v>
      </c>
      <c r="Q23" s="286" t="e">
        <f>+T17</f>
        <v>#DIV/0!</v>
      </c>
      <c r="R23" s="286" t="e">
        <f>+M23</f>
        <v>#DIV/0!</v>
      </c>
      <c r="S23" s="286" t="str">
        <f>IFERROR(IF(AVERAGE(Q23,R23)&gt;=0.3,1,(AVERAGE(Q23,R23)*100%)/0.3),"-")</f>
        <v>-</v>
      </c>
      <c r="T23" s="259" t="str">
        <f>+IFERROR(IF(S23=100%,L23,(+S23*L23)),"-")</f>
        <v>-</v>
      </c>
    </row>
    <row r="24" spans="1:37" ht="21" x14ac:dyDescent="0.35">
      <c r="G24"/>
      <c r="H24"/>
      <c r="L24" s="287">
        <f>SUM(L22:L23)</f>
        <v>0.8</v>
      </c>
      <c r="M24"/>
      <c r="O24" s="321">
        <f>IFERROR(SUM(O22:O23),"-")</f>
        <v>0</v>
      </c>
      <c r="Q24"/>
      <c r="S24" s="321">
        <f>IFERROR(SUM(T22:T23),"-")</f>
        <v>0</v>
      </c>
    </row>
    <row r="25" spans="1:37" ht="45" x14ac:dyDescent="0.25">
      <c r="N25" s="63"/>
      <c r="U25" s="256" t="s">
        <v>563</v>
      </c>
      <c r="V25" s="349" t="s">
        <v>695</v>
      </c>
      <c r="W25" s="349" t="s">
        <v>779</v>
      </c>
      <c r="X25" s="256" t="s">
        <v>564</v>
      </c>
      <c r="Y25" s="257" t="s">
        <v>562</v>
      </c>
      <c r="Z25" s="340" t="s">
        <v>697</v>
      </c>
    </row>
    <row r="26" spans="1:37" x14ac:dyDescent="0.25">
      <c r="U26" s="286" t="e">
        <f>AVERAGE(X7:X16)</f>
        <v>#DIV/0!</v>
      </c>
      <c r="V26" s="286" t="e">
        <f>+Q22</f>
        <v>#DIV/0!</v>
      </c>
      <c r="W26" s="286" t="e">
        <f>+M22</f>
        <v>#DIV/0!</v>
      </c>
      <c r="X26" s="286" t="str">
        <f>IFERROR(IF(AVERAGE(U26:W26)&gt;=0.9,1,(AVERAGE(U26:W26)*100%)/0.9),"-")</f>
        <v>-</v>
      </c>
      <c r="Y26" s="259" t="str">
        <f>IFERROR(+IF(X26=100%,L22,(+X26*L22)),"-")</f>
        <v>-</v>
      </c>
      <c r="Z26" s="714">
        <f>+Y28</f>
        <v>0</v>
      </c>
    </row>
    <row r="27" spans="1:37" x14ac:dyDescent="0.25">
      <c r="U27" s="286" t="e">
        <f>+X17</f>
        <v>#DIV/0!</v>
      </c>
      <c r="V27" s="286" t="e">
        <f>+Q23</f>
        <v>#DIV/0!</v>
      </c>
      <c r="W27" s="286" t="e">
        <f>+M23</f>
        <v>#DIV/0!</v>
      </c>
      <c r="X27" s="286" t="str">
        <f>IFERROR(IF(AVERAGE(U27:W27)&gt;=0.3,1,(AVERAGE(U27:W27)*100%)/0.3),"-")</f>
        <v>-</v>
      </c>
      <c r="Y27" s="259" t="str">
        <f>+IFERROR(IF(X27=100%,L23,(+X27*L23)),"-")</f>
        <v>-</v>
      </c>
      <c r="Z27" s="621"/>
    </row>
    <row r="28" spans="1:37" ht="21" x14ac:dyDescent="0.35">
      <c r="Y28" s="321">
        <f>IFERROR(SUM(Y26:Y27),"-")</f>
        <v>0</v>
      </c>
      <c r="Z28" s="621"/>
    </row>
    <row r="32" spans="1:37" ht="45" x14ac:dyDescent="0.25">
      <c r="Y32" s="256" t="s">
        <v>563</v>
      </c>
      <c r="Z32" s="349" t="s">
        <v>699</v>
      </c>
      <c r="AA32" s="349" t="s">
        <v>695</v>
      </c>
      <c r="AB32" s="349" t="s">
        <v>779</v>
      </c>
      <c r="AC32" s="256" t="s">
        <v>564</v>
      </c>
      <c r="AD32" s="257" t="s">
        <v>562</v>
      </c>
      <c r="AE32" s="340" t="s">
        <v>697</v>
      </c>
    </row>
    <row r="33" spans="25:31" x14ac:dyDescent="0.25">
      <c r="Y33" s="286" t="e">
        <f>AVERAGE(AB7:AB16)</f>
        <v>#DIV/0!</v>
      </c>
      <c r="Z33" s="286" t="e">
        <f>+U26</f>
        <v>#DIV/0!</v>
      </c>
      <c r="AA33" s="286" t="e">
        <f>+Q22</f>
        <v>#DIV/0!</v>
      </c>
      <c r="AB33" s="286" t="e">
        <f>+M22</f>
        <v>#DIV/0!</v>
      </c>
      <c r="AC33" s="286" t="str">
        <f>IFERROR(IF(AVERAGE(Y33:AB33)&gt;=0.9,1,(AVERAGE(Y33:AB33)*100%)/0.9),"-")</f>
        <v>-</v>
      </c>
      <c r="AD33" s="259" t="str">
        <f>IFERROR(+IF(AC33=100%,L22,(+AC33*L22)),"-")</f>
        <v>-</v>
      </c>
      <c r="AE33" s="477"/>
    </row>
    <row r="34" spans="25:31" x14ac:dyDescent="0.25">
      <c r="Y34" s="286" t="e">
        <f>+AB17</f>
        <v>#DIV/0!</v>
      </c>
      <c r="Z34" s="286" t="e">
        <f>+U27</f>
        <v>#DIV/0!</v>
      </c>
      <c r="AA34" s="286" t="e">
        <f>+Q23</f>
        <v>#DIV/0!</v>
      </c>
      <c r="AB34" s="286" t="e">
        <f>+M23</f>
        <v>#DIV/0!</v>
      </c>
      <c r="AC34" s="286" t="str">
        <f>IFERROR(IF(AVERAGE(Y34:AB34)&gt;=0.3,1,(AVERAGE(Y34:AB34)*100%)/0.3),"-")</f>
        <v>-</v>
      </c>
      <c r="AD34" s="259" t="str">
        <f>IFERROR(+IF(AC34=100%,L23,(+AC34*L23)),"-")</f>
        <v>-</v>
      </c>
      <c r="AE34" s="476"/>
    </row>
    <row r="35" spans="25:31" ht="21" x14ac:dyDescent="0.35">
      <c r="AC35" s="321">
        <f>IFERROR(SUM(AD33:AD34),"-")</f>
        <v>0</v>
      </c>
      <c r="AD35" s="476"/>
    </row>
  </sheetData>
  <mergeCells count="46">
    <mergeCell ref="Z26:Z28"/>
    <mergeCell ref="A1:B1"/>
    <mergeCell ref="C1:AH1"/>
    <mergeCell ref="A7:A17"/>
    <mergeCell ref="B7:B17"/>
    <mergeCell ref="C7:C17"/>
    <mergeCell ref="D7:D17"/>
    <mergeCell ref="E7:E17"/>
    <mergeCell ref="F7:F17"/>
    <mergeCell ref="I5:I6"/>
    <mergeCell ref="L5:L6"/>
    <mergeCell ref="E5:E6"/>
    <mergeCell ref="J5:J6"/>
    <mergeCell ref="A18:L18"/>
    <mergeCell ref="P18:P19"/>
    <mergeCell ref="AC5:AG5"/>
    <mergeCell ref="AI1:AK2"/>
    <mergeCell ref="A2:B3"/>
    <mergeCell ref="C2:AH3"/>
    <mergeCell ref="AI3:AK3"/>
    <mergeCell ref="R5:R6"/>
    <mergeCell ref="A4:D4"/>
    <mergeCell ref="A5:A6"/>
    <mergeCell ref="B5:B6"/>
    <mergeCell ref="C5:C6"/>
    <mergeCell ref="D5:D6"/>
    <mergeCell ref="AA5:AA6"/>
    <mergeCell ref="K5:K6"/>
    <mergeCell ref="AH5:AK5"/>
    <mergeCell ref="F5:F6"/>
    <mergeCell ref="G5:G6"/>
    <mergeCell ref="H5:H6"/>
    <mergeCell ref="T18:T19"/>
    <mergeCell ref="X18:X19"/>
    <mergeCell ref="AB18:AB19"/>
    <mergeCell ref="AG18:AG19"/>
    <mergeCell ref="T5:T6"/>
    <mergeCell ref="X5:X6"/>
    <mergeCell ref="AB5:AB6"/>
    <mergeCell ref="S5:S6"/>
    <mergeCell ref="V5:V6"/>
    <mergeCell ref="W5:W6"/>
    <mergeCell ref="Z5:Z6"/>
    <mergeCell ref="N5:N6"/>
    <mergeCell ref="O5:O6"/>
    <mergeCell ref="P5:P6"/>
  </mergeCells>
  <conditionalFormatting sqref="AC7:AG17 AG18">
    <cfRule type="cellIs" dxfId="29" priority="1" operator="lessThan">
      <formula>0.6</formula>
    </cfRule>
    <cfRule type="cellIs" dxfId="28" priority="2" operator="between">
      <formula>60%</formula>
      <formula>79%</formula>
    </cfRule>
    <cfRule type="cellIs" dxfId="27" priority="3" operator="between">
      <formula>80%</formula>
      <formula>100%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dimension ref="A1:AK9"/>
  <sheetViews>
    <sheetView topLeftCell="D1" zoomScale="70" zoomScaleNormal="70" workbookViewId="0">
      <selection activeCell="P4" sqref="P1:AC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3" width="19.42578125" customWidth="1"/>
    <col min="14" max="14" width="28.42578125" customWidth="1"/>
    <col min="15" max="15" width="22.7109375" customWidth="1"/>
    <col min="16" max="17" width="19.42578125" customWidth="1"/>
    <col min="18" max="18" width="28.42578125" customWidth="1"/>
    <col min="19" max="19" width="22.7109375" customWidth="1"/>
    <col min="20" max="21" width="19.42578125" customWidth="1"/>
    <col min="22" max="23" width="26.42578125" customWidth="1"/>
    <col min="24" max="28" width="19.42578125" customWidth="1"/>
    <col min="29" max="33" width="17.7109375" customWidth="1"/>
    <col min="34" max="37" width="26.5703125" customWidth="1"/>
  </cols>
  <sheetData>
    <row r="1" spans="1:37"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15.75" thickBot="1" x14ac:dyDescent="0.3">
      <c r="A4" s="572" t="s">
        <v>193</v>
      </c>
      <c r="B4" s="572"/>
      <c r="C4" s="572"/>
      <c r="D4" s="572"/>
      <c r="E4" s="28"/>
      <c r="F4" s="36"/>
      <c r="G4" s="28"/>
      <c r="H4" s="28"/>
      <c r="I4" s="28"/>
      <c r="J4" s="28"/>
      <c r="K4" s="28"/>
      <c r="L4" s="28"/>
      <c r="M4" s="54"/>
      <c r="N4" s="54"/>
      <c r="O4" s="28"/>
      <c r="P4" s="28"/>
      <c r="Q4" s="54"/>
      <c r="R4" s="54"/>
      <c r="S4" s="28"/>
      <c r="T4" s="28"/>
      <c r="U4" s="54"/>
      <c r="V4" s="28"/>
      <c r="W4" s="28"/>
      <c r="X4" s="28"/>
      <c r="Y4" s="54"/>
      <c r="Z4" s="54"/>
      <c r="AA4" s="54"/>
      <c r="AB4" s="28"/>
      <c r="AC4" s="28"/>
      <c r="AD4" s="28"/>
      <c r="AE4" s="28"/>
      <c r="AF4" s="28"/>
      <c r="AG4" s="28"/>
      <c r="AH4" s="28"/>
      <c r="AI4" s="28"/>
      <c r="AJ4" s="28"/>
      <c r="AK4" s="28"/>
    </row>
    <row r="5" spans="1:37" ht="57" customHeight="1" x14ac:dyDescent="0.25">
      <c r="A5" s="583" t="s">
        <v>1</v>
      </c>
      <c r="B5" s="575" t="s">
        <v>3</v>
      </c>
      <c r="C5" s="575" t="s">
        <v>194</v>
      </c>
      <c r="D5" s="575" t="s">
        <v>195</v>
      </c>
      <c r="E5" s="575" t="s">
        <v>196</v>
      </c>
      <c r="F5" s="581" t="s">
        <v>781</v>
      </c>
      <c r="G5" s="575" t="s">
        <v>228</v>
      </c>
      <c r="H5" s="575" t="s">
        <v>227</v>
      </c>
      <c r="I5" s="575" t="s">
        <v>8</v>
      </c>
      <c r="J5" s="575" t="s">
        <v>481</v>
      </c>
      <c r="K5" s="575" t="s">
        <v>501</v>
      </c>
      <c r="L5" s="646" t="s">
        <v>9</v>
      </c>
      <c r="M5" s="177" t="s">
        <v>322</v>
      </c>
      <c r="N5" s="655" t="s">
        <v>414</v>
      </c>
      <c r="O5" s="573" t="s">
        <v>499</v>
      </c>
      <c r="P5" s="563" t="s">
        <v>776</v>
      </c>
      <c r="Q5" s="177" t="s">
        <v>322</v>
      </c>
      <c r="R5" s="655" t="s">
        <v>414</v>
      </c>
      <c r="S5" s="573" t="s">
        <v>499</v>
      </c>
      <c r="T5" s="563" t="s">
        <v>474</v>
      </c>
      <c r="U5" s="177" t="s">
        <v>322</v>
      </c>
      <c r="V5" s="655" t="s">
        <v>414</v>
      </c>
      <c r="W5" s="573" t="s">
        <v>499</v>
      </c>
      <c r="X5" s="563" t="s">
        <v>477</v>
      </c>
      <c r="Y5" s="177" t="s">
        <v>322</v>
      </c>
      <c r="Z5" s="655" t="s">
        <v>414</v>
      </c>
      <c r="AA5" s="573" t="s">
        <v>499</v>
      </c>
      <c r="AB5" s="563" t="s">
        <v>479</v>
      </c>
      <c r="AC5" s="626" t="s">
        <v>11</v>
      </c>
      <c r="AD5" s="627"/>
      <c r="AE5" s="627"/>
      <c r="AF5" s="627"/>
      <c r="AG5" s="628"/>
      <c r="AH5" s="569" t="s">
        <v>539</v>
      </c>
      <c r="AI5" s="570"/>
      <c r="AJ5" s="570"/>
      <c r="AK5" s="571"/>
    </row>
    <row r="6" spans="1:37" ht="57" customHeight="1" x14ac:dyDescent="0.25">
      <c r="A6" s="584"/>
      <c r="B6" s="514"/>
      <c r="C6" s="514"/>
      <c r="D6" s="514"/>
      <c r="E6" s="514"/>
      <c r="F6" s="582"/>
      <c r="G6" s="514"/>
      <c r="H6" s="514"/>
      <c r="I6" s="514"/>
      <c r="J6" s="514"/>
      <c r="K6" s="514"/>
      <c r="L6" s="647"/>
      <c r="M6" s="141" t="s">
        <v>775</v>
      </c>
      <c r="N6" s="656"/>
      <c r="O6" s="574"/>
      <c r="P6" s="564"/>
      <c r="Q6" s="141" t="s">
        <v>298</v>
      </c>
      <c r="R6" s="656"/>
      <c r="S6" s="574"/>
      <c r="T6" s="564"/>
      <c r="U6" s="141" t="s">
        <v>287</v>
      </c>
      <c r="V6" s="656"/>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37" ht="108.75" customHeight="1" x14ac:dyDescent="0.25">
      <c r="A7" s="278" t="s">
        <v>219</v>
      </c>
      <c r="B7" s="279" t="s">
        <v>319</v>
      </c>
      <c r="C7" s="248" t="s">
        <v>320</v>
      </c>
      <c r="D7" s="248" t="s">
        <v>147</v>
      </c>
      <c r="E7" s="248" t="s">
        <v>221</v>
      </c>
      <c r="F7" s="251" t="s">
        <v>321</v>
      </c>
      <c r="G7" s="67" t="s">
        <v>465</v>
      </c>
      <c r="H7" s="67" t="s">
        <v>463</v>
      </c>
      <c r="I7" s="65" t="s">
        <v>141</v>
      </c>
      <c r="J7" s="65" t="s">
        <v>482</v>
      </c>
      <c r="K7" s="130" t="s">
        <v>454</v>
      </c>
      <c r="L7" s="282" t="s">
        <v>490</v>
      </c>
      <c r="M7" s="376"/>
      <c r="N7" s="53"/>
      <c r="O7" s="53"/>
      <c r="P7" s="143">
        <f>+M7</f>
        <v>0</v>
      </c>
      <c r="Q7" s="142"/>
      <c r="R7" s="53"/>
      <c r="S7" s="53"/>
      <c r="T7" s="143">
        <f>+Q7</f>
        <v>0</v>
      </c>
      <c r="U7" s="142"/>
      <c r="V7" s="53"/>
      <c r="W7" s="53"/>
      <c r="X7" s="143">
        <f>+U7</f>
        <v>0</v>
      </c>
      <c r="Y7" s="142"/>
      <c r="Z7" s="68"/>
      <c r="AA7" s="68"/>
      <c r="AB7" s="143">
        <f>+Y7</f>
        <v>0</v>
      </c>
      <c r="AC7" s="25">
        <f>IFERROR(IF(P7&gt;=0.9,1,(P7*100%)/0.9),"-")</f>
        <v>0</v>
      </c>
      <c r="AD7" s="25">
        <f>IFERROR(IF(T7&gt;=0.9,1,(T7*100%)/0.9),"-")</f>
        <v>0</v>
      </c>
      <c r="AE7" s="25">
        <f>IFERROR(IF(X7&gt;=0.9,1,(X7*100%)/0.9),"-")</f>
        <v>0</v>
      </c>
      <c r="AF7" s="25">
        <f>IFERROR(IF(AB7&gt;=0.9,1,(AB7*100%)/0.9),"-")</f>
        <v>0</v>
      </c>
      <c r="AG7" s="157">
        <f>IFERROR(AVERAGE(AC7:AF7),"-")</f>
        <v>0</v>
      </c>
      <c r="AH7" s="161"/>
      <c r="AI7" s="33"/>
      <c r="AJ7" s="34"/>
      <c r="AK7" s="162"/>
    </row>
    <row r="8" spans="1:37" ht="27" customHeight="1" thickBot="1" x14ac:dyDescent="0.3">
      <c r="A8" s="629" t="s">
        <v>293</v>
      </c>
      <c r="B8" s="630"/>
      <c r="C8" s="630"/>
      <c r="D8" s="630"/>
      <c r="E8" s="630"/>
      <c r="F8" s="630"/>
      <c r="G8" s="630"/>
      <c r="H8" s="630"/>
      <c r="I8" s="630"/>
      <c r="J8" s="630"/>
      <c r="K8" s="630"/>
      <c r="L8" s="631"/>
      <c r="M8" s="312" t="str">
        <f>IFERROR(AVERAGE(M7:M7),"-")</f>
        <v>-</v>
      </c>
      <c r="N8" s="182"/>
      <c r="O8" s="121"/>
      <c r="P8" s="619">
        <f>IFERROR(AVERAGE(P7:P7),"-")</f>
        <v>0</v>
      </c>
      <c r="Q8" s="312" t="str">
        <f>IFERROR(AVERAGE(Q7:Q7),"-")</f>
        <v>-</v>
      </c>
      <c r="R8" s="182"/>
      <c r="S8" s="121"/>
      <c r="T8" s="619">
        <f>IFERROR(AVERAGE(T7:T7),"-")</f>
        <v>0</v>
      </c>
      <c r="U8" s="313" t="str">
        <f>IFERROR(AVERAGE(U7:U7),"-")</f>
        <v>-</v>
      </c>
      <c r="V8" s="182"/>
      <c r="W8" s="121"/>
      <c r="X8" s="717">
        <f>IFERROR(AVERAGE(X7:X7),"-")</f>
        <v>0</v>
      </c>
      <c r="Y8" s="142">
        <f>+Y7</f>
        <v>0</v>
      </c>
      <c r="Z8" s="182"/>
      <c r="AA8" s="121"/>
      <c r="AB8" s="619">
        <f t="shared" ref="AB8:AG8" si="0">IFERROR(AVERAGE(AB7:AB7),"-")</f>
        <v>0</v>
      </c>
      <c r="AC8" s="170">
        <f t="shared" si="0"/>
        <v>0</v>
      </c>
      <c r="AD8" s="171">
        <f t="shared" si="0"/>
        <v>0</v>
      </c>
      <c r="AE8" s="171">
        <f t="shared" si="0"/>
        <v>0</v>
      </c>
      <c r="AF8" s="56">
        <f t="shared" si="0"/>
        <v>0</v>
      </c>
      <c r="AG8" s="667">
        <f t="shared" si="0"/>
        <v>0</v>
      </c>
      <c r="AH8" s="165"/>
      <c r="AI8" s="166"/>
      <c r="AJ8" s="167"/>
      <c r="AK8" s="168"/>
    </row>
    <row r="9" spans="1:37" ht="27" thickBot="1" x14ac:dyDescent="0.3">
      <c r="A9" s="28"/>
      <c r="B9" s="28"/>
      <c r="C9" s="28"/>
      <c r="D9" s="28"/>
      <c r="E9" s="28"/>
      <c r="F9" s="36"/>
      <c r="G9" s="28"/>
      <c r="H9" s="28"/>
      <c r="I9" s="28"/>
      <c r="J9" s="28"/>
      <c r="K9" s="28"/>
      <c r="L9" s="28"/>
      <c r="M9" s="148"/>
      <c r="N9" s="222"/>
      <c r="O9" s="145" t="s">
        <v>796</v>
      </c>
      <c r="P9" s="620"/>
      <c r="Q9" s="148"/>
      <c r="R9" s="222"/>
      <c r="S9" s="145" t="s">
        <v>313</v>
      </c>
      <c r="T9" s="620"/>
      <c r="U9" s="169"/>
      <c r="V9" s="149"/>
      <c r="W9" s="145" t="s">
        <v>296</v>
      </c>
      <c r="X9" s="718"/>
      <c r="Y9" s="169"/>
      <c r="Z9" s="222"/>
      <c r="AA9" s="145" t="s">
        <v>297</v>
      </c>
      <c r="AB9" s="620"/>
      <c r="AC9" s="172"/>
      <c r="AD9" s="173"/>
      <c r="AE9" s="174"/>
      <c r="AF9" s="158" t="s">
        <v>294</v>
      </c>
      <c r="AG9" s="668"/>
      <c r="AH9" s="28"/>
      <c r="AI9" s="28"/>
      <c r="AJ9" s="28"/>
      <c r="AK9" s="28"/>
    </row>
  </sheetData>
  <mergeCells count="39">
    <mergeCell ref="X5:X6"/>
    <mergeCell ref="W5:W6"/>
    <mergeCell ref="P8:P9"/>
    <mergeCell ref="AB5:AB6"/>
    <mergeCell ref="AC5:AG5"/>
    <mergeCell ref="Z5:Z6"/>
    <mergeCell ref="T5:T6"/>
    <mergeCell ref="E5:E6"/>
    <mergeCell ref="F5:F6"/>
    <mergeCell ref="G5:G6"/>
    <mergeCell ref="H5:H6"/>
    <mergeCell ref="I5:I6"/>
    <mergeCell ref="J5:J6"/>
    <mergeCell ref="K5:K6"/>
    <mergeCell ref="N5:N6"/>
    <mergeCell ref="O5:O6"/>
    <mergeCell ref="P5:P6"/>
    <mergeCell ref="A1:B1"/>
    <mergeCell ref="C1:AH1"/>
    <mergeCell ref="AI1:AK2"/>
    <mergeCell ref="A2:B3"/>
    <mergeCell ref="C2:AH3"/>
    <mergeCell ref="AI3:AK3"/>
    <mergeCell ref="AH5:AK5"/>
    <mergeCell ref="AA5:AA6"/>
    <mergeCell ref="AB8:AB9"/>
    <mergeCell ref="AG8:AG9"/>
    <mergeCell ref="A4:D4"/>
    <mergeCell ref="A5:A6"/>
    <mergeCell ref="B5:B6"/>
    <mergeCell ref="C5:C6"/>
    <mergeCell ref="D5:D6"/>
    <mergeCell ref="X8:X9"/>
    <mergeCell ref="A8:L8"/>
    <mergeCell ref="T8:T9"/>
    <mergeCell ref="L5:L6"/>
    <mergeCell ref="R5:R6"/>
    <mergeCell ref="S5:S6"/>
    <mergeCell ref="V5:V6"/>
  </mergeCells>
  <conditionalFormatting sqref="AC7:AG7 AG8">
    <cfRule type="cellIs" dxfId="26" priority="1" operator="lessThan">
      <formula>0.6</formula>
    </cfRule>
    <cfRule type="cellIs" dxfId="25" priority="2" operator="between">
      <formula>60%</formula>
      <formula>79%</formula>
    </cfRule>
    <cfRule type="cellIs" dxfId="24" priority="3" operator="between">
      <formula>80%</formula>
      <formula>100%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dimension ref="A1:AK9"/>
  <sheetViews>
    <sheetView topLeftCell="F1" zoomScale="70" zoomScaleNormal="70" workbookViewId="0">
      <selection activeCell="P4" sqref="P1:AC104857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4" width="19.42578125" customWidth="1"/>
    <col min="15" max="15" width="33.5703125" customWidth="1"/>
    <col min="16" max="18" width="19.42578125" customWidth="1"/>
    <col min="19" max="19" width="33.5703125" customWidth="1"/>
    <col min="20" max="21" width="19.42578125" customWidth="1"/>
    <col min="22" max="22" width="29.28515625" customWidth="1"/>
    <col min="23" max="25" width="19.42578125" customWidth="1"/>
    <col min="26" max="26" width="29.28515625" customWidth="1"/>
    <col min="27" max="28" width="19.42578125" customWidth="1"/>
    <col min="29" max="33" width="17.7109375" customWidth="1"/>
    <col min="34" max="37" width="26.5703125" customWidth="1"/>
  </cols>
  <sheetData>
    <row r="1" spans="1:37"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15.75" thickBot="1" x14ac:dyDescent="0.3">
      <c r="A4" s="572" t="s">
        <v>193</v>
      </c>
      <c r="B4" s="572"/>
      <c r="C4" s="572"/>
      <c r="D4" s="572"/>
      <c r="E4" s="28"/>
      <c r="F4" s="36"/>
      <c r="G4" s="28"/>
      <c r="H4" s="28"/>
      <c r="I4" s="28"/>
      <c r="J4" s="28"/>
      <c r="K4" s="28"/>
      <c r="L4" s="28"/>
      <c r="M4" s="54"/>
      <c r="N4" s="28"/>
      <c r="O4" s="28"/>
      <c r="P4" s="28"/>
      <c r="Q4" s="54"/>
      <c r="R4" s="28"/>
      <c r="S4" s="28"/>
      <c r="T4" s="28"/>
      <c r="U4" s="54"/>
      <c r="V4" s="28"/>
      <c r="W4" s="28"/>
      <c r="X4" s="28"/>
      <c r="Y4" s="54"/>
      <c r="Z4" s="28"/>
      <c r="AA4" s="28"/>
      <c r="AB4" s="28"/>
      <c r="AC4" s="28"/>
      <c r="AD4" s="28"/>
      <c r="AE4" s="28"/>
      <c r="AF4" s="28"/>
      <c r="AG4" s="28"/>
      <c r="AH4" s="28"/>
      <c r="AI4" s="28"/>
      <c r="AJ4" s="28"/>
      <c r="AK4" s="28"/>
    </row>
    <row r="5" spans="1:37" ht="57" customHeight="1" x14ac:dyDescent="0.25">
      <c r="A5" s="583" t="s">
        <v>1</v>
      </c>
      <c r="B5" s="575" t="s">
        <v>3</v>
      </c>
      <c r="C5" s="575" t="s">
        <v>194</v>
      </c>
      <c r="D5" s="575" t="s">
        <v>195</v>
      </c>
      <c r="E5" s="575" t="s">
        <v>196</v>
      </c>
      <c r="F5" s="581" t="s">
        <v>781</v>
      </c>
      <c r="G5" s="575" t="s">
        <v>228</v>
      </c>
      <c r="H5" s="575" t="s">
        <v>227</v>
      </c>
      <c r="I5" s="575" t="s">
        <v>8</v>
      </c>
      <c r="J5" s="575" t="s">
        <v>481</v>
      </c>
      <c r="K5" s="575" t="s">
        <v>504</v>
      </c>
      <c r="L5" s="646" t="s">
        <v>9</v>
      </c>
      <c r="M5" s="177" t="s">
        <v>326</v>
      </c>
      <c r="N5" s="655" t="s">
        <v>414</v>
      </c>
      <c r="O5" s="573" t="s">
        <v>499</v>
      </c>
      <c r="P5" s="563" t="s">
        <v>776</v>
      </c>
      <c r="Q5" s="177" t="s">
        <v>326</v>
      </c>
      <c r="R5" s="655" t="s">
        <v>414</v>
      </c>
      <c r="S5" s="573" t="s">
        <v>499</v>
      </c>
      <c r="T5" s="563" t="s">
        <v>474</v>
      </c>
      <c r="U5" s="177" t="s">
        <v>326</v>
      </c>
      <c r="V5" s="655" t="s">
        <v>414</v>
      </c>
      <c r="W5" s="573" t="s">
        <v>499</v>
      </c>
      <c r="X5" s="563" t="s">
        <v>477</v>
      </c>
      <c r="Y5" s="177" t="s">
        <v>326</v>
      </c>
      <c r="Z5" s="655" t="s">
        <v>414</v>
      </c>
      <c r="AA5" s="573" t="s">
        <v>499</v>
      </c>
      <c r="AB5" s="563" t="s">
        <v>314</v>
      </c>
      <c r="AC5" s="626" t="s">
        <v>11</v>
      </c>
      <c r="AD5" s="627"/>
      <c r="AE5" s="627"/>
      <c r="AF5" s="627"/>
      <c r="AG5" s="628"/>
      <c r="AH5" s="569" t="s">
        <v>539</v>
      </c>
      <c r="AI5" s="570"/>
      <c r="AJ5" s="570"/>
      <c r="AK5" s="571"/>
    </row>
    <row r="6" spans="1:37" ht="57" customHeight="1" x14ac:dyDescent="0.25">
      <c r="A6" s="584"/>
      <c r="B6" s="514"/>
      <c r="C6" s="514"/>
      <c r="D6" s="514"/>
      <c r="E6" s="514"/>
      <c r="F6" s="582"/>
      <c r="G6" s="514"/>
      <c r="H6" s="514"/>
      <c r="I6" s="514"/>
      <c r="J6" s="514"/>
      <c r="K6" s="514"/>
      <c r="L6" s="647"/>
      <c r="M6" s="141" t="s">
        <v>775</v>
      </c>
      <c r="N6" s="656"/>
      <c r="O6" s="574"/>
      <c r="P6" s="564"/>
      <c r="Q6" s="141" t="s">
        <v>298</v>
      </c>
      <c r="R6" s="656"/>
      <c r="S6" s="574"/>
      <c r="T6" s="564"/>
      <c r="U6" s="141" t="s">
        <v>287</v>
      </c>
      <c r="V6" s="656"/>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37" ht="103.5" customHeight="1" x14ac:dyDescent="0.25">
      <c r="A7" s="278" t="s">
        <v>219</v>
      </c>
      <c r="B7" s="279" t="s">
        <v>319</v>
      </c>
      <c r="C7" s="248" t="s">
        <v>320</v>
      </c>
      <c r="D7" s="248" t="s">
        <v>220</v>
      </c>
      <c r="E7" s="248" t="s">
        <v>324</v>
      </c>
      <c r="F7" s="251" t="s">
        <v>325</v>
      </c>
      <c r="G7" s="67" t="s">
        <v>464</v>
      </c>
      <c r="H7" s="67" t="s">
        <v>463</v>
      </c>
      <c r="I7" s="65">
        <v>0.9</v>
      </c>
      <c r="J7" s="136" t="s">
        <v>482</v>
      </c>
      <c r="K7" s="130" t="s">
        <v>454</v>
      </c>
      <c r="L7" s="282" t="s">
        <v>491</v>
      </c>
      <c r="M7" s="142"/>
      <c r="N7" s="53"/>
      <c r="O7" s="53"/>
      <c r="P7" s="143">
        <f>+M7</f>
        <v>0</v>
      </c>
      <c r="Q7" s="142"/>
      <c r="R7" s="53"/>
      <c r="S7" s="53"/>
      <c r="T7" s="143">
        <f>+Q7</f>
        <v>0</v>
      </c>
      <c r="U7" s="142"/>
      <c r="V7" s="53"/>
      <c r="W7" s="53"/>
      <c r="X7" s="143">
        <f>+U7</f>
        <v>0</v>
      </c>
      <c r="Y7" s="142"/>
      <c r="Z7" s="53"/>
      <c r="AA7" s="53"/>
      <c r="AB7" s="143">
        <f>+Y7</f>
        <v>0</v>
      </c>
      <c r="AC7" s="25">
        <f>IFERROR(IF(P7&gt;=0.9,1,(P7*100%)/0.9),"-")</f>
        <v>0</v>
      </c>
      <c r="AD7" s="25">
        <f>IFERROR(IF(T7&gt;=0.9,1,(T7*100%)/0.9),"-")</f>
        <v>0</v>
      </c>
      <c r="AE7" s="25">
        <f>IFERROR(IF(X7&gt;=0.9,1,(X7*100%)/0.9),"-")</f>
        <v>0</v>
      </c>
      <c r="AF7" s="25">
        <f>IFERROR(IF(AB7&gt;=0.9,1,(AB7*100%)/0.9),"-")</f>
        <v>0</v>
      </c>
      <c r="AG7" s="157">
        <f>IFERROR(AVERAGE(AC7:AF7),"-")</f>
        <v>0</v>
      </c>
      <c r="AH7" s="161"/>
      <c r="AI7" s="33"/>
      <c r="AJ7" s="34"/>
      <c r="AK7" s="162"/>
    </row>
    <row r="8" spans="1:37" ht="27" customHeight="1" thickBot="1" x14ac:dyDescent="0.3">
      <c r="A8" s="601" t="s">
        <v>293</v>
      </c>
      <c r="B8" s="602"/>
      <c r="C8" s="602"/>
      <c r="D8" s="602"/>
      <c r="E8" s="602"/>
      <c r="F8" s="602"/>
      <c r="G8" s="602"/>
      <c r="H8" s="602"/>
      <c r="I8" s="602"/>
      <c r="J8" s="602"/>
      <c r="K8" s="602"/>
      <c r="L8" s="602"/>
      <c r="M8" s="312" t="str">
        <f t="shared" ref="M8:P8" si="0">IFERROR(AVERAGE(M7:M7),"-")</f>
        <v>-</v>
      </c>
      <c r="N8" s="223" t="str">
        <f t="shared" si="0"/>
        <v>-</v>
      </c>
      <c r="O8" s="71" t="str">
        <f t="shared" si="0"/>
        <v>-</v>
      </c>
      <c r="P8" s="669">
        <f t="shared" si="0"/>
        <v>0</v>
      </c>
      <c r="Q8" s="312" t="str">
        <f t="shared" ref="Q8:AG8" si="1">IFERROR(AVERAGE(Q7:Q7),"-")</f>
        <v>-</v>
      </c>
      <c r="R8" s="223" t="str">
        <f t="shared" si="1"/>
        <v>-</v>
      </c>
      <c r="S8" s="71" t="str">
        <f t="shared" si="1"/>
        <v>-</v>
      </c>
      <c r="T8" s="669">
        <f t="shared" si="1"/>
        <v>0</v>
      </c>
      <c r="U8" s="312" t="str">
        <f t="shared" si="1"/>
        <v>-</v>
      </c>
      <c r="V8" s="223" t="str">
        <f t="shared" si="1"/>
        <v>-</v>
      </c>
      <c r="W8" s="71" t="str">
        <f t="shared" si="1"/>
        <v>-</v>
      </c>
      <c r="X8" s="719">
        <f t="shared" si="1"/>
        <v>0</v>
      </c>
      <c r="Y8" s="170" t="str">
        <f t="shared" si="1"/>
        <v>-</v>
      </c>
      <c r="Z8" s="223" t="str">
        <f t="shared" si="1"/>
        <v>-</v>
      </c>
      <c r="AA8" s="71" t="str">
        <f t="shared" si="1"/>
        <v>-</v>
      </c>
      <c r="AB8" s="669">
        <f t="shared" si="1"/>
        <v>0</v>
      </c>
      <c r="AC8" s="170">
        <f t="shared" si="1"/>
        <v>0</v>
      </c>
      <c r="AD8" s="171">
        <f t="shared" si="1"/>
        <v>0</v>
      </c>
      <c r="AE8" s="171">
        <f t="shared" si="1"/>
        <v>0</v>
      </c>
      <c r="AF8" s="56">
        <f t="shared" si="1"/>
        <v>0</v>
      </c>
      <c r="AG8" s="667">
        <f t="shared" si="1"/>
        <v>0</v>
      </c>
      <c r="AH8" s="165"/>
      <c r="AI8" s="166"/>
      <c r="AJ8" s="167"/>
      <c r="AK8" s="168"/>
    </row>
    <row r="9" spans="1:37" ht="27" thickBot="1" x14ac:dyDescent="0.3">
      <c r="A9" s="28"/>
      <c r="B9" s="28"/>
      <c r="C9" s="28"/>
      <c r="D9" s="28"/>
      <c r="E9" s="28"/>
      <c r="F9" s="36"/>
      <c r="G9" s="28"/>
      <c r="H9" s="28"/>
      <c r="I9" s="28"/>
      <c r="J9" s="28"/>
      <c r="K9" s="28"/>
      <c r="L9" s="28"/>
      <c r="M9" s="148"/>
      <c r="N9" s="149"/>
      <c r="O9" s="145" t="s">
        <v>814</v>
      </c>
      <c r="P9" s="670"/>
      <c r="Q9" s="148"/>
      <c r="R9" s="149"/>
      <c r="S9" s="145" t="s">
        <v>313</v>
      </c>
      <c r="T9" s="670"/>
      <c r="U9" s="169"/>
      <c r="V9" s="149"/>
      <c r="W9" s="145" t="s">
        <v>296</v>
      </c>
      <c r="X9" s="720"/>
      <c r="Y9" s="169"/>
      <c r="Z9" s="149"/>
      <c r="AA9" s="145" t="s">
        <v>500</v>
      </c>
      <c r="AB9" s="670"/>
      <c r="AC9" s="172"/>
      <c r="AD9" s="173"/>
      <c r="AE9" s="174"/>
      <c r="AF9" s="158" t="s">
        <v>294</v>
      </c>
      <c r="AG9" s="668"/>
      <c r="AH9" s="28"/>
      <c r="AI9" s="28"/>
      <c r="AJ9" s="28"/>
      <c r="AK9" s="28"/>
    </row>
  </sheetData>
  <mergeCells count="39">
    <mergeCell ref="X5:X6"/>
    <mergeCell ref="W5:W6"/>
    <mergeCell ref="P8:P9"/>
    <mergeCell ref="AB5:AB6"/>
    <mergeCell ref="AC5:AG5"/>
    <mergeCell ref="Z5:Z6"/>
    <mergeCell ref="T5:T6"/>
    <mergeCell ref="E5:E6"/>
    <mergeCell ref="F5:F6"/>
    <mergeCell ref="G5:G6"/>
    <mergeCell ref="H5:H6"/>
    <mergeCell ref="I5:I6"/>
    <mergeCell ref="J5:J6"/>
    <mergeCell ref="K5:K6"/>
    <mergeCell ref="N5:N6"/>
    <mergeCell ref="O5:O6"/>
    <mergeCell ref="P5:P6"/>
    <mergeCell ref="A1:B1"/>
    <mergeCell ref="C1:AH1"/>
    <mergeCell ref="AI1:AK2"/>
    <mergeCell ref="A2:B3"/>
    <mergeCell ref="C2:AH3"/>
    <mergeCell ref="AI3:AK3"/>
    <mergeCell ref="AH5:AK5"/>
    <mergeCell ref="AA5:AA6"/>
    <mergeCell ref="AB8:AB9"/>
    <mergeCell ref="AG8:AG9"/>
    <mergeCell ref="A4:D4"/>
    <mergeCell ref="A5:A6"/>
    <mergeCell ref="B5:B6"/>
    <mergeCell ref="C5:C6"/>
    <mergeCell ref="D5:D6"/>
    <mergeCell ref="X8:X9"/>
    <mergeCell ref="A8:L8"/>
    <mergeCell ref="T8:T9"/>
    <mergeCell ref="L5:L6"/>
    <mergeCell ref="R5:R6"/>
    <mergeCell ref="S5:S6"/>
    <mergeCell ref="V5:V6"/>
  </mergeCells>
  <conditionalFormatting sqref="AC7:AG7 AG8">
    <cfRule type="cellIs" dxfId="23" priority="1" operator="lessThan">
      <formula>0.6</formula>
    </cfRule>
    <cfRule type="cellIs" dxfId="22" priority="2" operator="between">
      <formula>60%</formula>
      <formula>79%</formula>
    </cfRule>
    <cfRule type="cellIs" dxfId="21" priority="3" operator="between">
      <formula>80%</formula>
      <formula>100%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dimension ref="A1:AK10"/>
  <sheetViews>
    <sheetView topLeftCell="F2" zoomScale="70" zoomScaleNormal="70" workbookViewId="0">
      <selection activeCell="O16" sqref="O16"/>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3" width="19.42578125" customWidth="1"/>
    <col min="14" max="14" width="36" customWidth="1"/>
    <col min="15" max="15" width="50.140625" customWidth="1"/>
    <col min="16" max="17" width="19.42578125" customWidth="1"/>
    <col min="18" max="19" width="34.7109375" customWidth="1"/>
    <col min="20" max="21" width="19.42578125" customWidth="1"/>
    <col min="22" max="23" width="33.42578125" customWidth="1"/>
    <col min="24" max="25" width="19.42578125" customWidth="1"/>
    <col min="26" max="26" width="24" customWidth="1"/>
    <col min="27" max="27" width="25.28515625" customWidth="1"/>
    <col min="28" max="28" width="19.42578125" customWidth="1"/>
    <col min="29" max="33" width="17.7109375" customWidth="1"/>
    <col min="34" max="37" width="26.5703125" customWidth="1"/>
  </cols>
  <sheetData>
    <row r="1" spans="1:37"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15.75" thickBot="1" x14ac:dyDescent="0.3">
      <c r="A4" s="572" t="s">
        <v>193</v>
      </c>
      <c r="B4" s="572"/>
      <c r="C4" s="572"/>
      <c r="D4" s="572"/>
      <c r="E4" s="28"/>
      <c r="F4" s="36"/>
      <c r="G4" s="28"/>
      <c r="H4" s="28"/>
      <c r="I4" s="28"/>
      <c r="J4" s="28"/>
      <c r="K4" s="28"/>
      <c r="L4" s="28"/>
      <c r="M4" s="54"/>
      <c r="N4" s="28"/>
      <c r="O4" s="28"/>
      <c r="P4" s="28"/>
      <c r="Q4" s="54"/>
      <c r="R4" s="28"/>
      <c r="S4" s="28"/>
      <c r="T4" s="28"/>
      <c r="U4" s="28"/>
      <c r="V4" s="28"/>
      <c r="W4" s="28"/>
      <c r="X4" s="28"/>
      <c r="Y4" s="54"/>
      <c r="Z4" s="28"/>
      <c r="AA4" s="28"/>
      <c r="AB4" s="28"/>
      <c r="AC4" s="28"/>
      <c r="AD4" s="28"/>
      <c r="AE4" s="28"/>
      <c r="AF4" s="28"/>
      <c r="AG4" s="28"/>
      <c r="AH4" s="28"/>
      <c r="AI4" s="28"/>
      <c r="AJ4" s="28"/>
      <c r="AK4" s="28"/>
    </row>
    <row r="5" spans="1:37" ht="57" customHeight="1" x14ac:dyDescent="0.25">
      <c r="A5" s="583" t="s">
        <v>1</v>
      </c>
      <c r="B5" s="575" t="s">
        <v>3</v>
      </c>
      <c r="C5" s="575" t="s">
        <v>194</v>
      </c>
      <c r="D5" s="575" t="s">
        <v>195</v>
      </c>
      <c r="E5" s="575" t="s">
        <v>196</v>
      </c>
      <c r="F5" s="581" t="s">
        <v>781</v>
      </c>
      <c r="G5" s="575" t="s">
        <v>228</v>
      </c>
      <c r="H5" s="575" t="s">
        <v>227</v>
      </c>
      <c r="I5" s="575" t="s">
        <v>8</v>
      </c>
      <c r="J5" s="575" t="s">
        <v>481</v>
      </c>
      <c r="K5" s="575" t="s">
        <v>501</v>
      </c>
      <c r="L5" s="646" t="s">
        <v>9</v>
      </c>
      <c r="M5" s="177" t="s">
        <v>716</v>
      </c>
      <c r="N5" s="655" t="s">
        <v>414</v>
      </c>
      <c r="O5" s="573" t="s">
        <v>499</v>
      </c>
      <c r="P5" s="563" t="s">
        <v>776</v>
      </c>
      <c r="Q5" s="177" t="s">
        <v>716</v>
      </c>
      <c r="R5" s="655" t="s">
        <v>414</v>
      </c>
      <c r="S5" s="573" t="s">
        <v>499</v>
      </c>
      <c r="T5" s="563" t="s">
        <v>474</v>
      </c>
      <c r="U5" s="177" t="s">
        <v>716</v>
      </c>
      <c r="V5" s="721" t="s">
        <v>414</v>
      </c>
      <c r="W5" s="573" t="s">
        <v>499</v>
      </c>
      <c r="X5" s="563" t="s">
        <v>477</v>
      </c>
      <c r="Y5" s="177" t="s">
        <v>716</v>
      </c>
      <c r="Z5" s="655" t="s">
        <v>414</v>
      </c>
      <c r="AA5" s="573" t="s">
        <v>499</v>
      </c>
      <c r="AB5" s="563" t="s">
        <v>314</v>
      </c>
      <c r="AC5" s="626" t="s">
        <v>11</v>
      </c>
      <c r="AD5" s="627"/>
      <c r="AE5" s="627"/>
      <c r="AF5" s="627"/>
      <c r="AG5" s="628"/>
      <c r="AH5" s="569" t="s">
        <v>539</v>
      </c>
      <c r="AI5" s="570"/>
      <c r="AJ5" s="570"/>
      <c r="AK5" s="571"/>
    </row>
    <row r="6" spans="1:37" ht="57" customHeight="1" x14ac:dyDescent="0.25">
      <c r="A6" s="584"/>
      <c r="B6" s="514"/>
      <c r="C6" s="514"/>
      <c r="D6" s="514"/>
      <c r="E6" s="514"/>
      <c r="F6" s="582"/>
      <c r="G6" s="514"/>
      <c r="H6" s="514"/>
      <c r="I6" s="514"/>
      <c r="J6" s="514"/>
      <c r="K6" s="514"/>
      <c r="L6" s="647"/>
      <c r="M6" s="141" t="s">
        <v>775</v>
      </c>
      <c r="N6" s="656"/>
      <c r="O6" s="574"/>
      <c r="P6" s="564"/>
      <c r="Q6" s="141" t="s">
        <v>298</v>
      </c>
      <c r="R6" s="656"/>
      <c r="S6" s="574"/>
      <c r="T6" s="564"/>
      <c r="U6" s="141" t="s">
        <v>287</v>
      </c>
      <c r="V6" s="722"/>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37" ht="74.25" customHeight="1" x14ac:dyDescent="0.25">
      <c r="A7" s="705" t="s">
        <v>219</v>
      </c>
      <c r="B7" s="699" t="s">
        <v>319</v>
      </c>
      <c r="C7" s="585" t="s">
        <v>320</v>
      </c>
      <c r="D7" s="585" t="s">
        <v>157</v>
      </c>
      <c r="E7" s="585" t="s">
        <v>502</v>
      </c>
      <c r="F7" s="610" t="s">
        <v>503</v>
      </c>
      <c r="G7" s="67" t="s">
        <v>705</v>
      </c>
      <c r="H7" s="67" t="s">
        <v>463</v>
      </c>
      <c r="I7" s="65">
        <v>0.9</v>
      </c>
      <c r="J7" s="136" t="s">
        <v>482</v>
      </c>
      <c r="K7" s="130" t="s">
        <v>454</v>
      </c>
      <c r="L7" s="282" t="s">
        <v>707</v>
      </c>
      <c r="M7" s="142"/>
      <c r="N7" s="53"/>
      <c r="O7" s="53"/>
      <c r="P7" s="143">
        <f>+M7</f>
        <v>0</v>
      </c>
      <c r="Q7" s="142"/>
      <c r="R7" s="53"/>
      <c r="S7" s="53"/>
      <c r="T7" s="143">
        <f>+Q7</f>
        <v>0</v>
      </c>
      <c r="U7" s="428"/>
      <c r="V7" s="53"/>
      <c r="W7" s="53"/>
      <c r="X7" s="143">
        <f>+U7</f>
        <v>0</v>
      </c>
      <c r="Y7" s="142"/>
      <c r="Z7" s="53"/>
      <c r="AA7" s="53"/>
      <c r="AB7" s="143">
        <f>+Y7</f>
        <v>0</v>
      </c>
      <c r="AC7" s="25">
        <f>IFERROR(IF(P7&gt;=0.9,1,(P7*100%)/0.9),"-")</f>
        <v>0</v>
      </c>
      <c r="AD7" s="25">
        <f>IFERROR(IF(T7&gt;=0.9,1,(T7*100%)/0.9),"-")</f>
        <v>0</v>
      </c>
      <c r="AE7" s="25">
        <f>IFERROR(IF(X7&gt;=0.9,1,(X7*100%)/0.9),"-")</f>
        <v>0</v>
      </c>
      <c r="AF7" s="25">
        <f>IFERROR(IF(AB7&gt;=0.9,1,(AB7*100%)/0.9),"-")</f>
        <v>0</v>
      </c>
      <c r="AG7" s="157">
        <f>IFERROR(AVERAGE(AC7:AF7),"-")</f>
        <v>0</v>
      </c>
      <c r="AH7" s="161"/>
      <c r="AI7" s="33"/>
      <c r="AJ7" s="34"/>
      <c r="AK7" s="162"/>
    </row>
    <row r="8" spans="1:37" ht="98.25" customHeight="1" x14ac:dyDescent="0.25">
      <c r="A8" s="707"/>
      <c r="B8" s="700"/>
      <c r="C8" s="587"/>
      <c r="D8" s="587"/>
      <c r="E8" s="587"/>
      <c r="F8" s="612"/>
      <c r="G8" s="67" t="s">
        <v>706</v>
      </c>
      <c r="H8" s="67" t="s">
        <v>463</v>
      </c>
      <c r="I8" s="65">
        <v>0.9</v>
      </c>
      <c r="J8" s="136" t="s">
        <v>482</v>
      </c>
      <c r="K8" s="130" t="s">
        <v>708</v>
      </c>
      <c r="L8" s="282" t="s">
        <v>707</v>
      </c>
      <c r="M8" s="142"/>
      <c r="N8" s="53"/>
      <c r="O8" s="53"/>
      <c r="P8" s="143">
        <f>+M8</f>
        <v>0</v>
      </c>
      <c r="Q8" s="142"/>
      <c r="R8" s="53"/>
      <c r="S8" s="53"/>
      <c r="T8" s="143">
        <f>+Q8</f>
        <v>0</v>
      </c>
      <c r="U8" s="428"/>
      <c r="V8" s="53"/>
      <c r="W8" s="53"/>
      <c r="X8" s="143">
        <f>+U8</f>
        <v>0</v>
      </c>
      <c r="Y8" s="142"/>
      <c r="Z8" s="53"/>
      <c r="AA8" s="53"/>
      <c r="AB8" s="143">
        <f>+Y8</f>
        <v>0</v>
      </c>
      <c r="AC8" s="25">
        <f>IFERROR(IF(P8&gt;=0.9,1,(P8*100%)/0.9),"-")</f>
        <v>0</v>
      </c>
      <c r="AD8" s="25">
        <f>IFERROR(IF(T8&gt;=0.9,1,(T8*100%)/0.9),"-")</f>
        <v>0</v>
      </c>
      <c r="AE8" s="25">
        <f>IFERROR(IF(X8&gt;=0.9,1,(X8*100%)/0.9),"-")</f>
        <v>0</v>
      </c>
      <c r="AF8" s="25">
        <f>IFERROR(IF(AB8&gt;=0.9,1,(AB8*100%)/0.9),"-")</f>
        <v>0</v>
      </c>
      <c r="AG8" s="157">
        <f>IFERROR(AVERAGE(AC8:AF8),"-")</f>
        <v>0</v>
      </c>
      <c r="AH8" s="161"/>
      <c r="AI8" s="33"/>
      <c r="AJ8" s="34"/>
      <c r="AK8" s="162"/>
    </row>
    <row r="9" spans="1:37" ht="27" customHeight="1" thickBot="1" x14ac:dyDescent="0.3">
      <c r="A9" s="601" t="s">
        <v>293</v>
      </c>
      <c r="B9" s="602"/>
      <c r="C9" s="602"/>
      <c r="D9" s="602"/>
      <c r="E9" s="602"/>
      <c r="F9" s="602"/>
      <c r="G9" s="602"/>
      <c r="H9" s="602"/>
      <c r="I9" s="602"/>
      <c r="J9" s="602"/>
      <c r="K9" s="602"/>
      <c r="L9" s="602"/>
      <c r="M9" s="312" t="str">
        <f>IFERROR(AVERAGE(M7:M8),"-")</f>
        <v>-</v>
      </c>
      <c r="N9" s="223" t="str">
        <f>IFERROR(AVERAGE(N7:N8),"-")</f>
        <v>-</v>
      </c>
      <c r="O9" s="71" t="str">
        <f t="shared" ref="O9" si="0">IFERROR(AVERAGE(O7:O7),"-")</f>
        <v>-</v>
      </c>
      <c r="P9" s="669">
        <f>IFERROR(AVERAGE(P7:P8),"-")</f>
        <v>0</v>
      </c>
      <c r="Q9" s="312" t="str">
        <f>IFERROR(AVERAGE(Q7:Q8),"-")</f>
        <v>-</v>
      </c>
      <c r="R9" s="223" t="str">
        <f>IFERROR(AVERAGE(R7:R8),"-")</f>
        <v>-</v>
      </c>
      <c r="S9" s="71" t="str">
        <f t="shared" ref="S9:AF9" si="1">IFERROR(AVERAGE(S7:S7),"-")</f>
        <v>-</v>
      </c>
      <c r="T9" s="669">
        <f>IFERROR(AVERAGE(T7:T8),"-")</f>
        <v>0</v>
      </c>
      <c r="U9" s="312" t="str">
        <f>IFERROR(AVERAGE(U7:U8),"-")</f>
        <v>-</v>
      </c>
      <c r="V9" s="223" t="str">
        <f>IFERROR(AVERAGE(V7:V8),"-")</f>
        <v>-</v>
      </c>
      <c r="W9" s="71" t="str">
        <f t="shared" si="1"/>
        <v>-</v>
      </c>
      <c r="X9" s="592">
        <f>IFERROR(AVERAGE(X7:X8),"-")</f>
        <v>0</v>
      </c>
      <c r="Y9" s="312" t="str">
        <f>IFERROR(AVERAGE(Y7:Y8),"-")</f>
        <v>-</v>
      </c>
      <c r="Z9" s="223" t="str">
        <f>IFERROR(AVERAGE(Z7:Z8),"-")</f>
        <v>-</v>
      </c>
      <c r="AA9" s="71" t="str">
        <f t="shared" si="1"/>
        <v>-</v>
      </c>
      <c r="AB9" s="669">
        <f>IFERROR(AVERAGE(AB7:AB8),"-")</f>
        <v>0</v>
      </c>
      <c r="AC9" s="170">
        <f t="shared" si="1"/>
        <v>0</v>
      </c>
      <c r="AD9" s="171">
        <f t="shared" si="1"/>
        <v>0</v>
      </c>
      <c r="AE9" s="171">
        <f t="shared" si="1"/>
        <v>0</v>
      </c>
      <c r="AF9" s="56">
        <f t="shared" si="1"/>
        <v>0</v>
      </c>
      <c r="AG9" s="667">
        <f>IFERROR(AVERAGE(AG7:AG8),"-")</f>
        <v>0</v>
      </c>
      <c r="AH9" s="165"/>
      <c r="AI9" s="166"/>
      <c r="AJ9" s="167"/>
      <c r="AK9" s="168"/>
    </row>
    <row r="10" spans="1:37" ht="27" thickBot="1" x14ac:dyDescent="0.3">
      <c r="A10" s="28"/>
      <c r="B10" s="28"/>
      <c r="C10" s="28"/>
      <c r="D10" s="28"/>
      <c r="E10" s="28"/>
      <c r="F10" s="36"/>
      <c r="G10" s="28"/>
      <c r="H10" s="28"/>
      <c r="I10" s="28"/>
      <c r="J10" s="28"/>
      <c r="K10" s="28"/>
      <c r="L10" s="28"/>
      <c r="M10" s="148"/>
      <c r="N10" s="149"/>
      <c r="O10" s="145" t="s">
        <v>796</v>
      </c>
      <c r="P10" s="670"/>
      <c r="Q10" s="148"/>
      <c r="R10" s="149"/>
      <c r="S10" s="145" t="s">
        <v>313</v>
      </c>
      <c r="T10" s="670"/>
      <c r="U10" s="224"/>
      <c r="V10" s="149"/>
      <c r="W10" s="145" t="s">
        <v>296</v>
      </c>
      <c r="X10" s="594"/>
      <c r="Y10" s="169"/>
      <c r="Z10" s="149"/>
      <c r="AA10" s="145" t="s">
        <v>500</v>
      </c>
      <c r="AB10" s="670"/>
      <c r="AC10" s="172"/>
      <c r="AD10" s="173"/>
      <c r="AE10" s="174"/>
      <c r="AF10" s="158" t="s">
        <v>294</v>
      </c>
      <c r="AG10" s="668"/>
      <c r="AH10" s="28"/>
      <c r="AI10" s="28"/>
      <c r="AJ10" s="28"/>
      <c r="AK10" s="28"/>
    </row>
  </sheetData>
  <mergeCells count="45">
    <mergeCell ref="F7:F8"/>
    <mergeCell ref="H5:H6"/>
    <mergeCell ref="A7:A8"/>
    <mergeCell ref="B7:B8"/>
    <mergeCell ref="C7:C8"/>
    <mergeCell ref="D7:D8"/>
    <mergeCell ref="E7:E8"/>
    <mergeCell ref="A1:B1"/>
    <mergeCell ref="C1:AH1"/>
    <mergeCell ref="AI1:AK2"/>
    <mergeCell ref="A2:B3"/>
    <mergeCell ref="C2:AH3"/>
    <mergeCell ref="AI3:AK3"/>
    <mergeCell ref="T5:T6"/>
    <mergeCell ref="V5:V6"/>
    <mergeCell ref="N5:N6"/>
    <mergeCell ref="O5:O6"/>
    <mergeCell ref="P5:P6"/>
    <mergeCell ref="K5:K6"/>
    <mergeCell ref="J5:J6"/>
    <mergeCell ref="A4:D4"/>
    <mergeCell ref="A5:A6"/>
    <mergeCell ref="B5:B6"/>
    <mergeCell ref="C5:C6"/>
    <mergeCell ref="D5:D6"/>
    <mergeCell ref="E5:E6"/>
    <mergeCell ref="I5:I6"/>
    <mergeCell ref="F5:F6"/>
    <mergeCell ref="G5:G6"/>
    <mergeCell ref="P9:P10"/>
    <mergeCell ref="AH5:AK5"/>
    <mergeCell ref="L5:L6"/>
    <mergeCell ref="R5:R6"/>
    <mergeCell ref="S5:S6"/>
    <mergeCell ref="W5:W6"/>
    <mergeCell ref="AG9:AG10"/>
    <mergeCell ref="A9:L9"/>
    <mergeCell ref="T9:T10"/>
    <mergeCell ref="X9:X10"/>
    <mergeCell ref="AB9:AB10"/>
    <mergeCell ref="X5:X6"/>
    <mergeCell ref="Z5:Z6"/>
    <mergeCell ref="AA5:AA6"/>
    <mergeCell ref="AB5:AB6"/>
    <mergeCell ref="AC5:AG5"/>
  </mergeCells>
  <conditionalFormatting sqref="AC7:AG8 AG9">
    <cfRule type="cellIs" dxfId="20" priority="4" operator="lessThan">
      <formula>0.6</formula>
    </cfRule>
    <cfRule type="cellIs" dxfId="19" priority="5" operator="between">
      <formula>60%</formula>
      <formula>79%</formula>
    </cfRule>
    <cfRule type="cellIs" dxfId="18" priority="6" operator="between">
      <formula>80%</formula>
      <formula>100%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dimension ref="A1:AK10"/>
  <sheetViews>
    <sheetView topLeftCell="D2" zoomScale="70" zoomScaleNormal="70" workbookViewId="0">
      <selection activeCell="M12" sqref="M12"/>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6" customWidth="1"/>
    <col min="7" max="7" width="16.140625" customWidth="1"/>
    <col min="8" max="8" width="25.28515625" customWidth="1"/>
    <col min="9" max="11" width="14.42578125" customWidth="1"/>
    <col min="12" max="12" width="16.7109375" customWidth="1"/>
    <col min="13" max="13" width="25.140625" customWidth="1"/>
    <col min="14" max="14" width="31.85546875" customWidth="1"/>
    <col min="15" max="15" width="28.5703125" customWidth="1"/>
    <col min="16" max="16" width="19.42578125" customWidth="1"/>
    <col min="17" max="17" width="25.140625" customWidth="1"/>
    <col min="18" max="18" width="31.85546875" customWidth="1"/>
    <col min="19" max="19" width="28.5703125" customWidth="1"/>
    <col min="20" max="20" width="19.42578125" customWidth="1"/>
    <col min="21" max="21" width="22.7109375" customWidth="1"/>
    <col min="22" max="22" width="33.140625" customWidth="1"/>
    <col min="23" max="23" width="22.42578125" customWidth="1"/>
    <col min="24" max="25" width="19.42578125" customWidth="1"/>
    <col min="26" max="26" width="33.140625" customWidth="1"/>
    <col min="27" max="28" width="22.42578125" customWidth="1"/>
    <col min="29" max="33" width="17.7109375" customWidth="1"/>
    <col min="34" max="37" width="26.5703125" customWidth="1"/>
  </cols>
  <sheetData>
    <row r="1" spans="1:37"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15.75" thickBot="1" x14ac:dyDescent="0.3">
      <c r="A4" s="572" t="s">
        <v>193</v>
      </c>
      <c r="B4" s="572"/>
      <c r="C4" s="572"/>
      <c r="D4" s="572"/>
      <c r="E4" s="28"/>
      <c r="F4" s="36"/>
      <c r="G4" s="28"/>
      <c r="H4" s="28"/>
      <c r="I4" s="28"/>
      <c r="J4" s="28"/>
      <c r="K4" s="28"/>
      <c r="L4" s="28"/>
      <c r="M4" s="54"/>
      <c r="N4" s="28"/>
      <c r="O4" s="28"/>
      <c r="P4" s="28"/>
      <c r="Q4" s="54"/>
      <c r="R4" s="28"/>
      <c r="S4" s="28"/>
      <c r="T4" s="28"/>
      <c r="U4" s="54"/>
      <c r="V4" s="28"/>
      <c r="W4" s="28"/>
      <c r="X4" s="28"/>
      <c r="Y4" s="54"/>
      <c r="Z4" s="28"/>
      <c r="AA4" s="28"/>
      <c r="AB4" s="28"/>
      <c r="AC4" s="28"/>
      <c r="AD4" s="28"/>
      <c r="AE4" s="28"/>
      <c r="AF4" s="28"/>
      <c r="AG4" s="28"/>
      <c r="AH4" s="28"/>
      <c r="AI4" s="28"/>
      <c r="AJ4" s="28"/>
      <c r="AK4" s="28"/>
    </row>
    <row r="5" spans="1:37" ht="57" customHeight="1" x14ac:dyDescent="0.25">
      <c r="A5" s="583" t="s">
        <v>1</v>
      </c>
      <c r="B5" s="575" t="s">
        <v>3</v>
      </c>
      <c r="C5" s="575" t="s">
        <v>194</v>
      </c>
      <c r="D5" s="575" t="s">
        <v>195</v>
      </c>
      <c r="E5" s="575" t="s">
        <v>196</v>
      </c>
      <c r="F5" s="581" t="s">
        <v>781</v>
      </c>
      <c r="G5" s="575" t="s">
        <v>228</v>
      </c>
      <c r="H5" s="575" t="s">
        <v>227</v>
      </c>
      <c r="I5" s="575" t="s">
        <v>8</v>
      </c>
      <c r="J5" s="575" t="s">
        <v>481</v>
      </c>
      <c r="K5" s="575" t="s">
        <v>501</v>
      </c>
      <c r="L5" s="579" t="s">
        <v>9</v>
      </c>
      <c r="M5" s="140" t="s">
        <v>323</v>
      </c>
      <c r="N5" s="655" t="s">
        <v>414</v>
      </c>
      <c r="O5" s="573" t="s">
        <v>416</v>
      </c>
      <c r="P5" s="563" t="s">
        <v>776</v>
      </c>
      <c r="Q5" s="140" t="s">
        <v>323</v>
      </c>
      <c r="R5" s="655" t="s">
        <v>414</v>
      </c>
      <c r="S5" s="573" t="s">
        <v>416</v>
      </c>
      <c r="T5" s="563" t="s">
        <v>474</v>
      </c>
      <c r="U5" s="140" t="s">
        <v>323</v>
      </c>
      <c r="V5" s="655" t="s">
        <v>414</v>
      </c>
      <c r="W5" s="573" t="s">
        <v>416</v>
      </c>
      <c r="X5" s="563" t="s">
        <v>475</v>
      </c>
      <c r="Y5" s="140" t="s">
        <v>323</v>
      </c>
      <c r="Z5" s="655" t="s">
        <v>414</v>
      </c>
      <c r="AA5" s="573" t="s">
        <v>416</v>
      </c>
      <c r="AB5" s="563" t="s">
        <v>476</v>
      </c>
      <c r="AC5" s="626" t="s">
        <v>11</v>
      </c>
      <c r="AD5" s="627"/>
      <c r="AE5" s="627"/>
      <c r="AF5" s="627"/>
      <c r="AG5" s="628"/>
      <c r="AH5" s="569" t="s">
        <v>539</v>
      </c>
      <c r="AI5" s="570"/>
      <c r="AJ5" s="570"/>
      <c r="AK5" s="571"/>
    </row>
    <row r="6" spans="1:37" ht="57" customHeight="1" x14ac:dyDescent="0.25">
      <c r="A6" s="584"/>
      <c r="B6" s="514"/>
      <c r="C6" s="514"/>
      <c r="D6" s="514"/>
      <c r="E6" s="514"/>
      <c r="F6" s="582"/>
      <c r="G6" s="514"/>
      <c r="H6" s="514"/>
      <c r="I6" s="514"/>
      <c r="J6" s="514"/>
      <c r="K6" s="514"/>
      <c r="L6" s="580"/>
      <c r="M6" s="141" t="s">
        <v>775</v>
      </c>
      <c r="N6" s="656"/>
      <c r="O6" s="574"/>
      <c r="P6" s="564"/>
      <c r="Q6" s="141" t="s">
        <v>298</v>
      </c>
      <c r="R6" s="656"/>
      <c r="S6" s="574"/>
      <c r="T6" s="564"/>
      <c r="U6" s="141" t="s">
        <v>287</v>
      </c>
      <c r="V6" s="656"/>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37" ht="101.25" customHeight="1" x14ac:dyDescent="0.25">
      <c r="A7" s="715" t="s">
        <v>219</v>
      </c>
      <c r="B7" s="724" t="s">
        <v>319</v>
      </c>
      <c r="C7" s="726" t="s">
        <v>320</v>
      </c>
      <c r="D7" s="726" t="s">
        <v>161</v>
      </c>
      <c r="E7" s="248" t="s">
        <v>816</v>
      </c>
      <c r="F7" s="251" t="s">
        <v>819</v>
      </c>
      <c r="G7" s="67" t="s">
        <v>817</v>
      </c>
      <c r="H7" s="67" t="s">
        <v>489</v>
      </c>
      <c r="I7" s="65">
        <v>0.9</v>
      </c>
      <c r="J7" s="65" t="s">
        <v>482</v>
      </c>
      <c r="K7" s="130" t="s">
        <v>454</v>
      </c>
      <c r="L7" s="239" t="s">
        <v>566</v>
      </c>
      <c r="M7" s="142"/>
      <c r="N7" s="53"/>
      <c r="O7" s="53"/>
      <c r="P7" s="143">
        <f>+M7</f>
        <v>0</v>
      </c>
      <c r="Q7" s="142"/>
      <c r="R7" s="53"/>
      <c r="S7" s="53"/>
      <c r="T7" s="143">
        <f>+Q7</f>
        <v>0</v>
      </c>
      <c r="U7" s="142"/>
      <c r="V7" s="53"/>
      <c r="W7" s="53"/>
      <c r="X7" s="143">
        <f>+U7</f>
        <v>0</v>
      </c>
      <c r="Y7" s="142"/>
      <c r="Z7" s="241"/>
      <c r="AA7" s="53"/>
      <c r="AB7" s="143">
        <f>+Y7</f>
        <v>0</v>
      </c>
      <c r="AC7" s="25">
        <f>IFERROR((P7*100%)/$I$7,"-")</f>
        <v>0</v>
      </c>
      <c r="AD7" s="25">
        <f>IFERROR((T7*100%)/$I$7,"-")</f>
        <v>0</v>
      </c>
      <c r="AE7" s="25">
        <f>IFERROR(IF(X7&gt;=0.9,1,(X7*100%)/0.9),"-")</f>
        <v>0</v>
      </c>
      <c r="AF7" s="25">
        <f>IFERROR(IF(AB7&gt;=0.9,1,(AB7*100%)/0.9),"-")</f>
        <v>0</v>
      </c>
      <c r="AG7" s="157">
        <f>IFERROR(AVERAGE(AC7:AF7),"-")</f>
        <v>0</v>
      </c>
      <c r="AH7" s="161"/>
      <c r="AI7" s="33"/>
      <c r="AJ7" s="34"/>
      <c r="AK7" s="162"/>
    </row>
    <row r="8" spans="1:37" ht="104.25" customHeight="1" x14ac:dyDescent="0.25">
      <c r="A8" s="723"/>
      <c r="B8" s="725"/>
      <c r="C8" s="727"/>
      <c r="D8" s="727"/>
      <c r="E8" s="248" t="s">
        <v>327</v>
      </c>
      <c r="F8" s="251" t="s">
        <v>820</v>
      </c>
      <c r="G8" s="67" t="s">
        <v>818</v>
      </c>
      <c r="H8" s="67" t="s">
        <v>489</v>
      </c>
      <c r="I8" s="65">
        <v>0.9</v>
      </c>
      <c r="J8" s="65" t="s">
        <v>482</v>
      </c>
      <c r="K8" s="130" t="s">
        <v>454</v>
      </c>
      <c r="L8" s="239" t="s">
        <v>566</v>
      </c>
      <c r="M8" s="494"/>
      <c r="N8" s="241"/>
      <c r="O8" s="221"/>
      <c r="P8" s="143">
        <f>+M8</f>
        <v>0</v>
      </c>
      <c r="Q8" s="240"/>
      <c r="R8" s="241"/>
      <c r="S8" s="221"/>
      <c r="T8" s="143">
        <f>+Q8</f>
        <v>0</v>
      </c>
      <c r="U8" s="240"/>
      <c r="V8" s="241"/>
      <c r="W8" s="221"/>
      <c r="X8" s="143">
        <f>+U8</f>
        <v>0</v>
      </c>
      <c r="Y8" s="240"/>
      <c r="Z8" s="241"/>
      <c r="AA8" s="221"/>
      <c r="AB8" s="143">
        <f>+Y8</f>
        <v>0</v>
      </c>
      <c r="AC8" s="25">
        <f>IFERROR((P8*100%)/$I$7,"-")</f>
        <v>0</v>
      </c>
      <c r="AD8" s="25">
        <f>IFERROR((T8*100%)/$I$7,"-")</f>
        <v>0</v>
      </c>
      <c r="AE8" s="25">
        <f>IFERROR(IF(X8&gt;=0.9,1,(X8*100%)/0.9),"-")</f>
        <v>0</v>
      </c>
      <c r="AF8" s="25">
        <f>IFERROR(IF(AB8&gt;=0.9,1,(AB8*100%)/0.9),"-")</f>
        <v>0</v>
      </c>
      <c r="AG8" s="157">
        <f>IFERROR(AVERAGE(AC8:AF8),"-")</f>
        <v>0</v>
      </c>
      <c r="AH8" s="482"/>
      <c r="AI8" s="483"/>
      <c r="AJ8" s="484"/>
      <c r="AK8" s="485"/>
    </row>
    <row r="9" spans="1:37" ht="27" customHeight="1" thickBot="1" x14ac:dyDescent="0.3">
      <c r="A9" s="629" t="s">
        <v>293</v>
      </c>
      <c r="B9" s="630"/>
      <c r="C9" s="630"/>
      <c r="D9" s="630"/>
      <c r="E9" s="630"/>
      <c r="F9" s="630"/>
      <c r="G9" s="630"/>
      <c r="H9" s="630"/>
      <c r="I9" s="630"/>
      <c r="J9" s="631"/>
      <c r="K9" s="631"/>
      <c r="L9" s="632"/>
      <c r="M9" s="170" t="str">
        <f>IFERROR(AVERAGE(M7:M7),"-")</f>
        <v>-</v>
      </c>
      <c r="N9" s="147"/>
      <c r="O9" s="118"/>
      <c r="P9" s="619">
        <f>IFERROR(AVERAGE(P7:P8),"-")</f>
        <v>0</v>
      </c>
      <c r="Q9" s="170" t="str">
        <f>IFERROR(AVERAGE(Q7:Q7),"-")</f>
        <v>-</v>
      </c>
      <c r="R9" s="147"/>
      <c r="S9" s="118"/>
      <c r="T9" s="619">
        <f>IFERROR(AVERAGE(T7:T8),"-")</f>
        <v>0</v>
      </c>
      <c r="U9" s="313" t="str">
        <f>IFERROR(AVERAGE(U7:U7),"-")</f>
        <v>-</v>
      </c>
      <c r="V9" s="147"/>
      <c r="W9" s="118"/>
      <c r="X9" s="619">
        <f>IFERROR(AVERAGE(X7:X8),"-")</f>
        <v>0</v>
      </c>
      <c r="Y9" s="313" t="str">
        <f>IFERROR(AVERAGE(Y7:Y7),"-")</f>
        <v>-</v>
      </c>
      <c r="Z9" s="147"/>
      <c r="AA9" s="118"/>
      <c r="AB9" s="619">
        <f>IFERROR(AVERAGE(AB7:AB8),"-")</f>
        <v>0</v>
      </c>
      <c r="AC9" s="170">
        <f t="shared" ref="AC9:AF9" si="0">IFERROR(AVERAGE(AC7:AC7),"-")</f>
        <v>0</v>
      </c>
      <c r="AD9" s="314">
        <f t="shared" si="0"/>
        <v>0</v>
      </c>
      <c r="AE9" s="314">
        <f t="shared" si="0"/>
        <v>0</v>
      </c>
      <c r="AF9" s="314">
        <f t="shared" si="0"/>
        <v>0</v>
      </c>
      <c r="AG9" s="667">
        <f>IFERROR(AVERAGE(AG7:AG8),"-")</f>
        <v>0</v>
      </c>
      <c r="AH9" s="165"/>
      <c r="AI9" s="166"/>
      <c r="AJ9" s="167"/>
      <c r="AK9" s="168"/>
    </row>
    <row r="10" spans="1:37" ht="27" thickBot="1" x14ac:dyDescent="0.3">
      <c r="A10" s="28"/>
      <c r="B10" s="28"/>
      <c r="C10" s="28"/>
      <c r="D10" s="28"/>
      <c r="E10" s="28"/>
      <c r="F10" s="36"/>
      <c r="G10" s="28"/>
      <c r="H10" s="28"/>
      <c r="I10" s="28"/>
      <c r="J10" s="28"/>
      <c r="K10" s="28"/>
      <c r="L10" s="28"/>
      <c r="M10" s="148"/>
      <c r="N10" s="149"/>
      <c r="O10" s="145" t="s">
        <v>815</v>
      </c>
      <c r="P10" s="620"/>
      <c r="Q10" s="148"/>
      <c r="R10" s="149"/>
      <c r="S10" s="145" t="s">
        <v>473</v>
      </c>
      <c r="T10" s="620"/>
      <c r="U10" s="169"/>
      <c r="V10" s="149"/>
      <c r="W10" s="145" t="s">
        <v>296</v>
      </c>
      <c r="X10" s="620"/>
      <c r="Y10" s="169"/>
      <c r="Z10" s="149"/>
      <c r="AA10" s="145" t="s">
        <v>297</v>
      </c>
      <c r="AB10" s="620"/>
      <c r="AC10" s="172"/>
      <c r="AD10" s="173"/>
      <c r="AE10" s="174"/>
      <c r="AF10" s="158" t="s">
        <v>294</v>
      </c>
      <c r="AG10" s="668"/>
      <c r="AH10" s="28"/>
      <c r="AI10" s="28"/>
      <c r="AJ10" s="28"/>
      <c r="AK10" s="28"/>
    </row>
  </sheetData>
  <mergeCells count="43">
    <mergeCell ref="AB5:AB6"/>
    <mergeCell ref="T5:T6"/>
    <mergeCell ref="X5:X6"/>
    <mergeCell ref="R5:R6"/>
    <mergeCell ref="S5:S6"/>
    <mergeCell ref="V5:V6"/>
    <mergeCell ref="W5:W6"/>
    <mergeCell ref="Z5:Z6"/>
    <mergeCell ref="AG9:AG10"/>
    <mergeCell ref="A9:L9"/>
    <mergeCell ref="T9:T10"/>
    <mergeCell ref="X9:X10"/>
    <mergeCell ref="AB9:AB10"/>
    <mergeCell ref="AC5:AG5"/>
    <mergeCell ref="AH5:AK5"/>
    <mergeCell ref="AA5:AA6"/>
    <mergeCell ref="L5:L6"/>
    <mergeCell ref="A4:D4"/>
    <mergeCell ref="A5:A6"/>
    <mergeCell ref="B5:B6"/>
    <mergeCell ref="C5:C6"/>
    <mergeCell ref="D5:D6"/>
    <mergeCell ref="E5:E6"/>
    <mergeCell ref="F5:F6"/>
    <mergeCell ref="G5:G6"/>
    <mergeCell ref="H5:H6"/>
    <mergeCell ref="I5:I6"/>
    <mergeCell ref="J5:J6"/>
    <mergeCell ref="K5:K6"/>
    <mergeCell ref="A1:B1"/>
    <mergeCell ref="C1:AH1"/>
    <mergeCell ref="AI1:AK2"/>
    <mergeCell ref="A2:B3"/>
    <mergeCell ref="C2:AH3"/>
    <mergeCell ref="AI3:AK3"/>
    <mergeCell ref="N5:N6"/>
    <mergeCell ref="O5:O6"/>
    <mergeCell ref="P5:P6"/>
    <mergeCell ref="P9:P10"/>
    <mergeCell ref="A7:A8"/>
    <mergeCell ref="B7:B8"/>
    <mergeCell ref="C7:C8"/>
    <mergeCell ref="D7:D8"/>
  </mergeCells>
  <conditionalFormatting sqref="AC7:AG8 AG9">
    <cfRule type="cellIs" dxfId="17" priority="1" operator="lessThan">
      <formula>0.6</formula>
    </cfRule>
    <cfRule type="cellIs" dxfId="16" priority="2" operator="between">
      <formula>60%</formula>
      <formula>79%</formula>
    </cfRule>
    <cfRule type="cellIs" dxfId="15" priority="3" operator="between">
      <formula>80%</formula>
      <formula>100%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dimension ref="A1:AG9"/>
  <sheetViews>
    <sheetView zoomScale="70" zoomScaleNormal="70" workbookViewId="0">
      <selection activeCell="G7" sqref="G7:L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3" width="19.42578125" customWidth="1"/>
    <col min="14" max="14" width="51.5703125" customWidth="1"/>
    <col min="15" max="15" width="40.42578125" customWidth="1"/>
    <col min="16" max="16" width="19.42578125" customWidth="1"/>
    <col min="17" max="17" width="19.42578125" hidden="1" customWidth="1"/>
    <col min="18" max="18" width="51.5703125" hidden="1" customWidth="1"/>
    <col min="19" max="19" width="22.42578125" hidden="1" customWidth="1"/>
    <col min="20" max="21" width="19.42578125" hidden="1" customWidth="1"/>
    <col min="22" max="22" width="51.5703125" hidden="1" customWidth="1"/>
    <col min="23" max="23" width="22.42578125" hidden="1" customWidth="1"/>
    <col min="24" max="24" width="19.42578125" hidden="1" customWidth="1"/>
    <col min="25" max="29" width="17.7109375" customWidth="1"/>
    <col min="30" max="33" width="26.5703125" customWidth="1"/>
  </cols>
  <sheetData>
    <row r="1" spans="1:33"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77"/>
      <c r="AF1" s="577"/>
      <c r="AG1" s="577"/>
    </row>
    <row r="2" spans="1:33" ht="41.25" customHeight="1" x14ac:dyDescent="0.25">
      <c r="A2" s="568" t="s">
        <v>608</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7"/>
      <c r="AF2" s="577"/>
      <c r="AG2" s="577"/>
    </row>
    <row r="3" spans="1:33"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78" t="s">
        <v>609</v>
      </c>
      <c r="AF3" s="578"/>
      <c r="AG3" s="578"/>
    </row>
    <row r="4" spans="1:33" ht="15.75" thickBot="1" x14ac:dyDescent="0.3">
      <c r="A4" s="572" t="s">
        <v>193</v>
      </c>
      <c r="B4" s="572"/>
      <c r="C4" s="572"/>
      <c r="D4" s="572"/>
      <c r="E4" s="28"/>
      <c r="F4" s="36"/>
      <c r="G4" s="28"/>
      <c r="H4" s="28"/>
      <c r="I4" s="28"/>
      <c r="J4" s="28"/>
      <c r="K4" s="28"/>
      <c r="L4" s="28"/>
      <c r="M4" s="54"/>
      <c r="N4" s="28"/>
      <c r="O4" s="28"/>
      <c r="P4" s="28"/>
      <c r="Q4" s="54"/>
      <c r="R4" s="28"/>
      <c r="S4" s="28"/>
      <c r="T4" s="28"/>
      <c r="U4" s="54"/>
      <c r="V4" s="28"/>
      <c r="W4" s="28"/>
      <c r="X4" s="28"/>
      <c r="Y4" s="28"/>
      <c r="Z4" s="28"/>
      <c r="AA4" s="28"/>
      <c r="AB4" s="28"/>
      <c r="AC4" s="28"/>
      <c r="AD4" s="28"/>
      <c r="AE4" s="28"/>
      <c r="AF4" s="28"/>
      <c r="AG4" s="28"/>
    </row>
    <row r="5" spans="1:33" ht="57" customHeight="1" x14ac:dyDescent="0.25">
      <c r="A5" s="513" t="s">
        <v>1</v>
      </c>
      <c r="B5" s="513" t="s">
        <v>3</v>
      </c>
      <c r="C5" s="513" t="s">
        <v>194</v>
      </c>
      <c r="D5" s="513" t="s">
        <v>195</v>
      </c>
      <c r="E5" s="513" t="s">
        <v>196</v>
      </c>
      <c r="F5" s="710" t="s">
        <v>231</v>
      </c>
      <c r="G5" s="513" t="s">
        <v>228</v>
      </c>
      <c r="H5" s="513" t="s">
        <v>227</v>
      </c>
      <c r="I5" s="513" t="s">
        <v>8</v>
      </c>
      <c r="J5" s="513" t="s">
        <v>481</v>
      </c>
      <c r="K5" s="513" t="s">
        <v>501</v>
      </c>
      <c r="L5" s="713" t="s">
        <v>9</v>
      </c>
      <c r="M5" s="140" t="s">
        <v>323</v>
      </c>
      <c r="N5" s="655" t="s">
        <v>414</v>
      </c>
      <c r="O5" s="573" t="s">
        <v>416</v>
      </c>
      <c r="P5" s="563" t="s">
        <v>474</v>
      </c>
      <c r="Q5" s="140" t="s">
        <v>323</v>
      </c>
      <c r="R5" s="655" t="s">
        <v>414</v>
      </c>
      <c r="S5" s="573" t="s">
        <v>416</v>
      </c>
      <c r="T5" s="563" t="s">
        <v>474</v>
      </c>
      <c r="U5" s="140" t="s">
        <v>323</v>
      </c>
      <c r="V5" s="655" t="s">
        <v>414</v>
      </c>
      <c r="W5" s="573" t="s">
        <v>416</v>
      </c>
      <c r="X5" s="563" t="s">
        <v>314</v>
      </c>
      <c r="Y5" s="626" t="s">
        <v>11</v>
      </c>
      <c r="Z5" s="627"/>
      <c r="AA5" s="627"/>
      <c r="AB5" s="627"/>
      <c r="AC5" s="628"/>
      <c r="AD5" s="644" t="s">
        <v>197</v>
      </c>
      <c r="AE5" s="644"/>
      <c r="AF5" s="644"/>
      <c r="AG5" s="645"/>
    </row>
    <row r="6" spans="1:33" ht="57" customHeight="1" x14ac:dyDescent="0.25">
      <c r="A6" s="514"/>
      <c r="B6" s="514"/>
      <c r="C6" s="514"/>
      <c r="D6" s="514"/>
      <c r="E6" s="514"/>
      <c r="F6" s="582"/>
      <c r="G6" s="514"/>
      <c r="H6" s="514"/>
      <c r="I6" s="514"/>
      <c r="J6" s="514"/>
      <c r="K6" s="514"/>
      <c r="L6" s="647"/>
      <c r="M6" s="141" t="s">
        <v>298</v>
      </c>
      <c r="N6" s="656"/>
      <c r="O6" s="574"/>
      <c r="P6" s="564"/>
      <c r="Q6" s="141" t="s">
        <v>287</v>
      </c>
      <c r="R6" s="656"/>
      <c r="S6" s="574"/>
      <c r="T6" s="564"/>
      <c r="U6" s="141" t="s">
        <v>312</v>
      </c>
      <c r="V6" s="656"/>
      <c r="W6" s="574"/>
      <c r="X6" s="564"/>
      <c r="Y6" s="154" t="s">
        <v>198</v>
      </c>
      <c r="Z6" s="5" t="s">
        <v>199</v>
      </c>
      <c r="AA6" s="5" t="s">
        <v>200</v>
      </c>
      <c r="AB6" s="5" t="s">
        <v>201</v>
      </c>
      <c r="AC6" s="155" t="s">
        <v>20</v>
      </c>
      <c r="AD6" s="151" t="s">
        <v>202</v>
      </c>
      <c r="AE6" s="31" t="s">
        <v>203</v>
      </c>
      <c r="AF6" s="31" t="s">
        <v>204</v>
      </c>
      <c r="AG6" s="31" t="s">
        <v>205</v>
      </c>
    </row>
    <row r="7" spans="1:33" ht="121.5" customHeight="1" x14ac:dyDescent="0.25">
      <c r="A7" s="283" t="s">
        <v>219</v>
      </c>
      <c r="B7" s="279" t="s">
        <v>319</v>
      </c>
      <c r="C7" s="248" t="s">
        <v>320</v>
      </c>
      <c r="D7" s="248" t="s">
        <v>161</v>
      </c>
      <c r="E7" s="248" t="s">
        <v>327</v>
      </c>
      <c r="F7" s="251" t="s">
        <v>328</v>
      </c>
      <c r="G7" s="67" t="s">
        <v>466</v>
      </c>
      <c r="H7" s="67" t="s">
        <v>463</v>
      </c>
      <c r="I7" s="65">
        <v>1</v>
      </c>
      <c r="J7" s="65" t="s">
        <v>482</v>
      </c>
      <c r="K7" s="130" t="s">
        <v>454</v>
      </c>
      <c r="L7" s="282" t="s">
        <v>484</v>
      </c>
      <c r="M7" s="142">
        <v>0</v>
      </c>
      <c r="N7" s="53" t="s">
        <v>665</v>
      </c>
      <c r="O7" s="53"/>
      <c r="P7" s="143">
        <f>+IFERROR(AVERAGE(M7:O7),"-")</f>
        <v>0</v>
      </c>
      <c r="Q7" s="142" t="s">
        <v>226</v>
      </c>
      <c r="R7" s="53"/>
      <c r="S7" s="53"/>
      <c r="T7" s="143" t="str">
        <f>+IFERROR(AVERAGE(Q7:S7),"-")</f>
        <v>-</v>
      </c>
      <c r="U7" s="150"/>
      <c r="V7" s="53"/>
      <c r="W7" s="53"/>
      <c r="X7" s="175" t="str">
        <f>+IFERROR(AVERAGE(U7:W7),"-")</f>
        <v>-</v>
      </c>
      <c r="Y7" s="156" t="s">
        <v>226</v>
      </c>
      <c r="Z7" s="25">
        <f>IFERROR((P7*100%)/$I$7,"-")</f>
        <v>0</v>
      </c>
      <c r="AA7" s="25" t="str">
        <f>IFERROR((T7*100%)/$I$7,"-")</f>
        <v>-</v>
      </c>
      <c r="AB7" s="25" t="str">
        <f>IFERROR((X7*100%)/$I$7,"-")</f>
        <v>-</v>
      </c>
      <c r="AC7" s="157">
        <f>IFERROR(AVERAGE(Y7:AB7),"-")</f>
        <v>0</v>
      </c>
      <c r="AD7" s="152"/>
      <c r="AE7" s="33"/>
      <c r="AF7" s="34"/>
      <c r="AG7" s="34"/>
    </row>
    <row r="8" spans="1:33" ht="27" customHeight="1" thickBot="1" x14ac:dyDescent="0.3">
      <c r="A8" s="711" t="s">
        <v>293</v>
      </c>
      <c r="B8" s="711"/>
      <c r="C8" s="711"/>
      <c r="D8" s="711"/>
      <c r="E8" s="711"/>
      <c r="F8" s="711"/>
      <c r="G8" s="711"/>
      <c r="H8" s="711"/>
      <c r="I8" s="711"/>
      <c r="J8" s="712"/>
      <c r="K8" s="712"/>
      <c r="L8" s="712"/>
      <c r="M8" s="146">
        <f>IFERROR(AVERAGE(M7:M7),"-")</f>
        <v>0</v>
      </c>
      <c r="N8" s="147"/>
      <c r="O8" s="118"/>
      <c r="P8" s="728">
        <f>IFERROR(AVERAGE(P7:P7),"-")</f>
        <v>0</v>
      </c>
      <c r="Q8" s="146" t="str">
        <f>IFERROR(AVERAGE(Q7:Q7),"-")</f>
        <v>-</v>
      </c>
      <c r="R8" s="147"/>
      <c r="S8" s="118"/>
      <c r="T8" s="728" t="str">
        <f>IFERROR(AVERAGE(T7:T7),"-")</f>
        <v>-</v>
      </c>
      <c r="U8" s="146" t="str">
        <f>IFERROR(AVERAGE(U7:U7),"-")</f>
        <v>-</v>
      </c>
      <c r="V8" s="147"/>
      <c r="W8" s="118"/>
      <c r="X8" s="728" t="str">
        <f t="shared" ref="X8:AC8" si="0">IFERROR(AVERAGE(X7:X7),"-")</f>
        <v>-</v>
      </c>
      <c r="Y8" s="170" t="str">
        <f t="shared" si="0"/>
        <v>-</v>
      </c>
      <c r="Z8" s="171">
        <f t="shared" si="0"/>
        <v>0</v>
      </c>
      <c r="AA8" s="171" t="str">
        <f t="shared" si="0"/>
        <v>-</v>
      </c>
      <c r="AB8" s="56" t="str">
        <f t="shared" si="0"/>
        <v>-</v>
      </c>
      <c r="AC8" s="667">
        <f t="shared" si="0"/>
        <v>0</v>
      </c>
      <c r="AD8" s="153"/>
      <c r="AE8" s="30"/>
      <c r="AF8" s="27"/>
      <c r="AG8" s="26"/>
    </row>
    <row r="9" spans="1:33" ht="27" thickBot="1" x14ac:dyDescent="0.3">
      <c r="A9" s="28"/>
      <c r="B9" s="28"/>
      <c r="C9" s="28"/>
      <c r="D9" s="28"/>
      <c r="E9" s="28"/>
      <c r="F9" s="36"/>
      <c r="G9" s="28"/>
      <c r="H9" s="28"/>
      <c r="I9" s="28"/>
      <c r="J9" s="28"/>
      <c r="K9" s="28"/>
      <c r="L9" s="28"/>
      <c r="M9" s="148"/>
      <c r="N9" s="149"/>
      <c r="O9" s="145" t="s">
        <v>473</v>
      </c>
      <c r="P9" s="729"/>
      <c r="Q9" s="169"/>
      <c r="R9" s="149"/>
      <c r="S9" s="144" t="s">
        <v>296</v>
      </c>
      <c r="T9" s="729"/>
      <c r="U9" s="169"/>
      <c r="V9" s="149"/>
      <c r="W9" s="144" t="s">
        <v>297</v>
      </c>
      <c r="X9" s="729"/>
      <c r="Y9" s="172"/>
      <c r="Z9" s="173"/>
      <c r="AA9" s="174"/>
      <c r="AB9" s="158" t="s">
        <v>294</v>
      </c>
      <c r="AC9" s="668"/>
      <c r="AD9" s="28"/>
      <c r="AE9" s="28"/>
      <c r="AF9" s="28"/>
      <c r="AG9" s="28"/>
    </row>
  </sheetData>
  <mergeCells count="35">
    <mergeCell ref="X8:X9"/>
    <mergeCell ref="AC8:AC9"/>
    <mergeCell ref="A8:L8"/>
    <mergeCell ref="P8:P9"/>
    <mergeCell ref="T8:T9"/>
    <mergeCell ref="AE1:AG2"/>
    <mergeCell ref="A2:B3"/>
    <mergeCell ref="C2:AD3"/>
    <mergeCell ref="AE3:AG3"/>
    <mergeCell ref="C5:C6"/>
    <mergeCell ref="D5:D6"/>
    <mergeCell ref="X5:X6"/>
    <mergeCell ref="Y5:AC5"/>
    <mergeCell ref="AD5:AG5"/>
    <mergeCell ref="W5:W6"/>
    <mergeCell ref="L5:L6"/>
    <mergeCell ref="N5:N6"/>
    <mergeCell ref="O5:O6"/>
    <mergeCell ref="R5:R6"/>
    <mergeCell ref="S5:S6"/>
    <mergeCell ref="V5:V6"/>
    <mergeCell ref="G5:G6"/>
    <mergeCell ref="H5:H6"/>
    <mergeCell ref="A1:B1"/>
    <mergeCell ref="C1:AD1"/>
    <mergeCell ref="P5:P6"/>
    <mergeCell ref="T5:T6"/>
    <mergeCell ref="I5:I6"/>
    <mergeCell ref="J5:J6"/>
    <mergeCell ref="A4:D4"/>
    <mergeCell ref="A5:A6"/>
    <mergeCell ref="B5:B6"/>
    <mergeCell ref="E5:E6"/>
    <mergeCell ref="F5:F6"/>
    <mergeCell ref="K5:K6"/>
  </mergeCells>
  <conditionalFormatting sqref="Y7:AC7 AC8">
    <cfRule type="cellIs" dxfId="14" priority="1" operator="lessThan">
      <formula>0.6</formula>
    </cfRule>
    <cfRule type="cellIs" dxfId="13" priority="2" operator="between">
      <formula>60%</formula>
      <formula>79%</formula>
    </cfRule>
    <cfRule type="cellIs" dxfId="12" priority="3" operator="between">
      <formula>80%</formula>
      <formula>100%</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1"/>
  <dimension ref="A1:AK27"/>
  <sheetViews>
    <sheetView topLeftCell="A3" zoomScale="70" zoomScaleNormal="70" workbookViewId="0">
      <selection activeCell="M7" sqref="M7:N13"/>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7" max="7" width="25.5703125" customWidth="1"/>
    <col min="8" max="8" width="25.28515625" customWidth="1"/>
    <col min="9" max="10" width="14.42578125" customWidth="1"/>
    <col min="11" max="11" width="16.7109375" customWidth="1"/>
    <col min="12" max="12" width="13.7109375" customWidth="1"/>
    <col min="13" max="13" width="19.85546875" customWidth="1"/>
    <col min="14" max="14" width="45.5703125" customWidth="1"/>
    <col min="15" max="15" width="37.140625" customWidth="1"/>
    <col min="16" max="16" width="25" customWidth="1"/>
    <col min="17" max="17" width="19.85546875" hidden="1" customWidth="1"/>
    <col min="18" max="18" width="36.5703125" hidden="1" customWidth="1"/>
    <col min="19" max="19" width="37.140625" hidden="1" customWidth="1"/>
    <col min="20" max="20" width="25" hidden="1" customWidth="1"/>
    <col min="21" max="21" width="19.42578125" hidden="1" customWidth="1"/>
    <col min="22" max="22" width="31.7109375" hidden="1" customWidth="1"/>
    <col min="23" max="23" width="42.140625" hidden="1" customWidth="1"/>
    <col min="24" max="24" width="25" hidden="1" customWidth="1"/>
    <col min="25" max="25" width="19.42578125" hidden="1" customWidth="1"/>
    <col min="26" max="26" width="27.85546875" hidden="1" customWidth="1"/>
    <col min="27" max="27" width="34.42578125" hidden="1" customWidth="1"/>
    <col min="28" max="28" width="25" hidden="1" customWidth="1"/>
    <col min="29" max="33" width="17.7109375" customWidth="1"/>
    <col min="34" max="37" width="26.5703125" customWidth="1"/>
  </cols>
  <sheetData>
    <row r="1" spans="1:37"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77"/>
      <c r="AJ1" s="577"/>
      <c r="AK1" s="577"/>
    </row>
    <row r="2" spans="1:37" ht="41.25" customHeight="1" x14ac:dyDescent="0.25">
      <c r="A2" s="568" t="s">
        <v>719</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77"/>
      <c r="AJ2" s="577"/>
      <c r="AK2" s="577"/>
    </row>
    <row r="3" spans="1:37"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78" t="s">
        <v>718</v>
      </c>
      <c r="AJ3" s="578"/>
      <c r="AK3" s="578"/>
    </row>
    <row r="4" spans="1:37" ht="15.75" thickBot="1" x14ac:dyDescent="0.3">
      <c r="A4" s="572" t="s">
        <v>193</v>
      </c>
      <c r="B4" s="572"/>
      <c r="C4" s="572"/>
      <c r="D4" s="572"/>
      <c r="E4" s="28"/>
      <c r="F4" s="36"/>
      <c r="G4" s="28"/>
      <c r="H4" s="28"/>
      <c r="I4" s="28"/>
      <c r="J4" s="28"/>
      <c r="K4" s="28"/>
      <c r="L4" s="28"/>
      <c r="M4" s="28"/>
      <c r="N4" s="28"/>
      <c r="O4" s="28"/>
      <c r="P4" s="28"/>
      <c r="Q4" s="28"/>
      <c r="R4" s="28"/>
      <c r="S4" s="28"/>
      <c r="T4" s="28"/>
      <c r="U4" s="54"/>
      <c r="V4" s="28"/>
      <c r="W4" s="28"/>
      <c r="X4" s="28"/>
      <c r="Y4" s="54"/>
      <c r="Z4" s="28"/>
      <c r="AA4" s="28"/>
      <c r="AB4" s="28"/>
      <c r="AC4" s="28"/>
      <c r="AD4" s="28"/>
      <c r="AE4" s="28"/>
      <c r="AF4" s="28"/>
      <c r="AG4" s="28"/>
      <c r="AH4" s="28"/>
      <c r="AI4" s="28"/>
      <c r="AJ4" s="28"/>
      <c r="AK4" s="28"/>
    </row>
    <row r="5" spans="1:37" ht="74.25" customHeight="1" x14ac:dyDescent="0.25">
      <c r="A5" s="583" t="s">
        <v>1</v>
      </c>
      <c r="B5" s="575" t="s">
        <v>3</v>
      </c>
      <c r="C5" s="575" t="s">
        <v>194</v>
      </c>
      <c r="D5" s="575" t="s">
        <v>195</v>
      </c>
      <c r="E5" s="575" t="s">
        <v>196</v>
      </c>
      <c r="F5" s="581" t="s">
        <v>781</v>
      </c>
      <c r="G5" s="575" t="s">
        <v>228</v>
      </c>
      <c r="H5" s="575" t="s">
        <v>227</v>
      </c>
      <c r="I5" s="575" t="s">
        <v>8</v>
      </c>
      <c r="J5" s="575" t="s">
        <v>481</v>
      </c>
      <c r="K5" s="575" t="s">
        <v>501</v>
      </c>
      <c r="L5" s="579" t="s">
        <v>9</v>
      </c>
      <c r="M5" s="184" t="s">
        <v>417</v>
      </c>
      <c r="N5" s="655" t="s">
        <v>414</v>
      </c>
      <c r="O5" s="573" t="s">
        <v>416</v>
      </c>
      <c r="P5" s="563" t="s">
        <v>776</v>
      </c>
      <c r="Q5" s="184" t="s">
        <v>417</v>
      </c>
      <c r="R5" s="655" t="s">
        <v>414</v>
      </c>
      <c r="S5" s="573" t="s">
        <v>416</v>
      </c>
      <c r="T5" s="563" t="s">
        <v>474</v>
      </c>
      <c r="U5" s="184" t="s">
        <v>417</v>
      </c>
      <c r="V5" s="655" t="s">
        <v>414</v>
      </c>
      <c r="W5" s="573" t="s">
        <v>416</v>
      </c>
      <c r="X5" s="563" t="s">
        <v>477</v>
      </c>
      <c r="Y5" s="184" t="s">
        <v>417</v>
      </c>
      <c r="Z5" s="655" t="s">
        <v>414</v>
      </c>
      <c r="AA5" s="573" t="s">
        <v>416</v>
      </c>
      <c r="AB5" s="563" t="s">
        <v>479</v>
      </c>
      <c r="AC5" s="626" t="s">
        <v>11</v>
      </c>
      <c r="AD5" s="627"/>
      <c r="AE5" s="627"/>
      <c r="AF5" s="627"/>
      <c r="AG5" s="628"/>
      <c r="AH5" s="569" t="s">
        <v>539</v>
      </c>
      <c r="AI5" s="570"/>
      <c r="AJ5" s="570"/>
      <c r="AK5" s="571"/>
    </row>
    <row r="6" spans="1:37" ht="57" customHeight="1" x14ac:dyDescent="0.25">
      <c r="A6" s="584"/>
      <c r="B6" s="514"/>
      <c r="C6" s="514"/>
      <c r="D6" s="514"/>
      <c r="E6" s="514"/>
      <c r="F6" s="582"/>
      <c r="G6" s="514"/>
      <c r="H6" s="514"/>
      <c r="I6" s="514"/>
      <c r="J6" s="514"/>
      <c r="K6" s="514"/>
      <c r="L6" s="580"/>
      <c r="M6" s="141" t="s">
        <v>775</v>
      </c>
      <c r="N6" s="656"/>
      <c r="O6" s="574"/>
      <c r="P6" s="564"/>
      <c r="Q6" s="141" t="s">
        <v>298</v>
      </c>
      <c r="R6" s="656"/>
      <c r="S6" s="574"/>
      <c r="T6" s="564"/>
      <c r="U6" s="141" t="s">
        <v>287</v>
      </c>
      <c r="V6" s="656"/>
      <c r="W6" s="574"/>
      <c r="X6" s="564"/>
      <c r="Y6" s="141" t="s">
        <v>312</v>
      </c>
      <c r="Z6" s="656"/>
      <c r="AA6" s="574"/>
      <c r="AB6" s="564"/>
      <c r="AC6" s="154" t="s">
        <v>198</v>
      </c>
      <c r="AD6" s="5" t="s">
        <v>199</v>
      </c>
      <c r="AE6" s="5" t="s">
        <v>200</v>
      </c>
      <c r="AF6" s="5" t="s">
        <v>201</v>
      </c>
      <c r="AG6" s="155" t="s">
        <v>20</v>
      </c>
      <c r="AH6" s="159" t="s">
        <v>202</v>
      </c>
      <c r="AI6" s="31" t="s">
        <v>203</v>
      </c>
      <c r="AJ6" s="31" t="s">
        <v>204</v>
      </c>
      <c r="AK6" s="160" t="s">
        <v>205</v>
      </c>
    </row>
    <row r="7" spans="1:37" ht="69" customHeight="1" x14ac:dyDescent="0.25">
      <c r="A7" s="715" t="s">
        <v>167</v>
      </c>
      <c r="B7" s="699" t="s">
        <v>329</v>
      </c>
      <c r="C7" s="699" t="s">
        <v>330</v>
      </c>
      <c r="D7" s="699" t="s">
        <v>331</v>
      </c>
      <c r="E7" s="699" t="s">
        <v>332</v>
      </c>
      <c r="F7" s="732">
        <v>0.9</v>
      </c>
      <c r="G7" s="200" t="s">
        <v>821</v>
      </c>
      <c r="H7" s="136" t="s">
        <v>710</v>
      </c>
      <c r="I7" s="119">
        <v>0.6</v>
      </c>
      <c r="J7" s="199" t="s">
        <v>485</v>
      </c>
      <c r="K7" s="297" t="s">
        <v>636</v>
      </c>
      <c r="L7" s="735" t="s">
        <v>174</v>
      </c>
      <c r="M7" s="492"/>
      <c r="N7" s="136"/>
      <c r="O7" s="102"/>
      <c r="P7" s="185">
        <f>+M7</f>
        <v>0</v>
      </c>
      <c r="Q7" s="232"/>
      <c r="R7" s="136"/>
      <c r="S7" s="102"/>
      <c r="T7" s="185">
        <f>+Q7</f>
        <v>0</v>
      </c>
      <c r="U7" s="361"/>
      <c r="V7" s="136"/>
      <c r="W7" s="102"/>
      <c r="X7" s="185">
        <f>+U7</f>
        <v>0</v>
      </c>
      <c r="Y7" s="361"/>
      <c r="Z7" s="136"/>
      <c r="AA7" s="136"/>
      <c r="AB7" s="185">
        <f>+Y7</f>
        <v>0</v>
      </c>
      <c r="AC7" s="25">
        <f>IFERROR(IF(P7&gt;=0.6,1,(P7*100%)/0.6),"-")</f>
        <v>0</v>
      </c>
      <c r="AD7" s="25">
        <f>IFERROR(IF(T7&gt;=0.6,1,(T7*100%)/0.6),"-")</f>
        <v>0</v>
      </c>
      <c r="AE7" s="25">
        <f>IFERROR(IF(X7&gt;=0.6,1,(X7*100%)/0.6),"-")</f>
        <v>0</v>
      </c>
      <c r="AF7" s="25">
        <f>IFERROR(IF(AB7&gt;=0.6,1,(AB7*100%)/0.6),"-")</f>
        <v>0</v>
      </c>
      <c r="AG7" s="157">
        <f>IFERROR(AVERAGE(AC7:AF7),"-")</f>
        <v>0</v>
      </c>
      <c r="AH7" s="161"/>
      <c r="AI7" s="33"/>
      <c r="AJ7" s="34"/>
      <c r="AK7" s="162"/>
    </row>
    <row r="8" spans="1:37" ht="51.75" customHeight="1" x14ac:dyDescent="0.25">
      <c r="A8" s="716"/>
      <c r="B8" s="677"/>
      <c r="C8" s="677"/>
      <c r="D8" s="677"/>
      <c r="E8" s="677"/>
      <c r="F8" s="733"/>
      <c r="G8" s="737" t="s">
        <v>822</v>
      </c>
      <c r="H8" s="136" t="s">
        <v>711</v>
      </c>
      <c r="I8" s="493">
        <v>10</v>
      </c>
      <c r="J8" s="199" t="s">
        <v>483</v>
      </c>
      <c r="K8" s="297" t="s">
        <v>823</v>
      </c>
      <c r="L8" s="682"/>
      <c r="M8" s="73"/>
      <c r="N8" s="136"/>
      <c r="O8" s="102"/>
      <c r="P8" s="488">
        <f>+M8</f>
        <v>0</v>
      </c>
      <c r="Q8" s="487"/>
      <c r="R8" s="136"/>
      <c r="S8" s="102"/>
      <c r="T8" s="73">
        <f>+Q8</f>
        <v>0</v>
      </c>
      <c r="U8" s="361"/>
      <c r="V8" s="136"/>
      <c r="W8" s="102"/>
      <c r="X8" s="185">
        <f t="shared" ref="X8:X13" si="0">+U8</f>
        <v>0</v>
      </c>
      <c r="Y8" s="359"/>
      <c r="Z8" s="136"/>
      <c r="AA8" s="136"/>
      <c r="AB8" s="185">
        <f>+Y8</f>
        <v>0</v>
      </c>
      <c r="AC8" s="25">
        <f>IFERROR(IF(P8&gt;=0.3,1,(P8*100%)/0.3),"-")</f>
        <v>0</v>
      </c>
      <c r="AD8" s="25">
        <f>IFERROR(IF(T8&gt;=0.3,1,(T8*100%)/0.3),"-")</f>
        <v>0</v>
      </c>
      <c r="AE8" s="25">
        <f>IFERROR(IF(X8&gt;=0.3,1,(X8*100%)/0.3),"-")</f>
        <v>0</v>
      </c>
      <c r="AF8" s="25">
        <f>IFERROR(IF(AB8&gt;=0.3,1,(AB8*100%)/0.3),"-")</f>
        <v>0</v>
      </c>
      <c r="AG8" s="157">
        <f>IFERROR(AVERAGE(AC8:AF8),"-")</f>
        <v>0</v>
      </c>
      <c r="AH8" s="161"/>
      <c r="AI8" s="33"/>
      <c r="AJ8" s="34"/>
      <c r="AK8" s="162"/>
    </row>
    <row r="9" spans="1:37" ht="59.25" customHeight="1" x14ac:dyDescent="0.25">
      <c r="A9" s="716"/>
      <c r="B9" s="586"/>
      <c r="C9" s="677"/>
      <c r="D9" s="677"/>
      <c r="E9" s="677"/>
      <c r="F9" s="733"/>
      <c r="G9" s="738"/>
      <c r="H9" s="136" t="s">
        <v>712</v>
      </c>
      <c r="I9" s="119">
        <v>0.3</v>
      </c>
      <c r="J9" s="199" t="s">
        <v>485</v>
      </c>
      <c r="K9" s="297" t="s">
        <v>636</v>
      </c>
      <c r="L9" s="682"/>
      <c r="M9" s="413"/>
      <c r="N9" s="136"/>
      <c r="O9" s="102"/>
      <c r="P9" s="185">
        <f>+M9</f>
        <v>0</v>
      </c>
      <c r="Q9" s="413"/>
      <c r="R9" s="136"/>
      <c r="S9" s="102"/>
      <c r="T9" s="185">
        <f>+Q9</f>
        <v>0</v>
      </c>
      <c r="U9" s="361"/>
      <c r="V9" s="136"/>
      <c r="W9" s="102"/>
      <c r="X9" s="185">
        <f t="shared" si="0"/>
        <v>0</v>
      </c>
      <c r="Y9" s="142"/>
      <c r="Z9" s="136"/>
      <c r="AA9" s="102"/>
      <c r="AB9" s="185">
        <f t="shared" ref="AB9:AB13" si="1">+Y9</f>
        <v>0</v>
      </c>
      <c r="AC9" s="25">
        <f>IFERROR(IF(P9&gt;=0.3,1,(P9*100%)/0.3),"-")</f>
        <v>0</v>
      </c>
      <c r="AD9" s="25">
        <f>IFERROR(IF(T9&gt;=0.3,1,(T9*100%)/0.3),"-")</f>
        <v>0</v>
      </c>
      <c r="AE9" s="25">
        <f>IFERROR(IF(X9&gt;=0.3,1,(X9*100%)/0.3),"-")</f>
        <v>0</v>
      </c>
      <c r="AF9" s="25">
        <f>IFERROR(IF(AB9&gt;=0.3,1,(AB9*100%)/0.3),"-")</f>
        <v>0</v>
      </c>
      <c r="AG9" s="157">
        <f>IFERROR(AVERAGE(AC9:AF9),"-")</f>
        <v>0</v>
      </c>
      <c r="AH9" s="163"/>
      <c r="AI9" s="29"/>
      <c r="AJ9" s="27"/>
      <c r="AK9" s="164"/>
    </row>
    <row r="10" spans="1:37" ht="45" customHeight="1" x14ac:dyDescent="0.25">
      <c r="A10" s="716"/>
      <c r="B10" s="586"/>
      <c r="C10" s="677"/>
      <c r="D10" s="677"/>
      <c r="E10" s="677"/>
      <c r="F10" s="734"/>
      <c r="G10" s="739"/>
      <c r="H10" s="136" t="s">
        <v>824</v>
      </c>
      <c r="I10" s="119">
        <v>0.3</v>
      </c>
      <c r="J10" s="199" t="s">
        <v>483</v>
      </c>
      <c r="K10" s="297" t="s">
        <v>825</v>
      </c>
      <c r="L10" s="682"/>
      <c r="M10" s="413"/>
      <c r="N10" s="136"/>
      <c r="O10" s="102"/>
      <c r="P10" s="185">
        <f>+M10</f>
        <v>0</v>
      </c>
      <c r="Q10" s="413"/>
      <c r="R10" s="136"/>
      <c r="S10" s="102"/>
      <c r="T10" s="185">
        <f>+Q10</f>
        <v>0</v>
      </c>
      <c r="U10" s="361"/>
      <c r="V10" s="136"/>
      <c r="W10" s="102"/>
      <c r="X10" s="185">
        <f t="shared" si="0"/>
        <v>0</v>
      </c>
      <c r="Y10" s="142"/>
      <c r="Z10" s="136"/>
      <c r="AA10" s="102"/>
      <c r="AB10" s="185">
        <f t="shared" si="1"/>
        <v>0</v>
      </c>
      <c r="AC10" s="25">
        <f>IFERROR(IF(P10&gt;=0.3,1,(P10*100%)/0.3),"-")</f>
        <v>0</v>
      </c>
      <c r="AD10" s="25">
        <f>IFERROR(IF(T10&gt;=0.3,1,(T10*100%)/0.3),"-")</f>
        <v>0</v>
      </c>
      <c r="AE10" s="25">
        <f>IFERROR(IF(X10&gt;=0.3,1,(X10*100%)/0.3),"-")</f>
        <v>0</v>
      </c>
      <c r="AF10" s="25">
        <f>IFERROR(IF(AB10&gt;=0.3,1,(AB10*100%)/0.3),"-")</f>
        <v>0</v>
      </c>
      <c r="AG10" s="157"/>
      <c r="AH10" s="163"/>
      <c r="AI10" s="29"/>
      <c r="AJ10" s="27"/>
      <c r="AK10" s="164"/>
    </row>
    <row r="11" spans="1:37" ht="45.75" customHeight="1" x14ac:dyDescent="0.25">
      <c r="A11" s="716"/>
      <c r="B11" s="586"/>
      <c r="C11" s="677"/>
      <c r="D11" s="677"/>
      <c r="E11" s="677"/>
      <c r="F11" s="362">
        <v>0.7</v>
      </c>
      <c r="G11" s="136" t="s">
        <v>713</v>
      </c>
      <c r="H11" s="136" t="s">
        <v>826</v>
      </c>
      <c r="I11" s="486">
        <v>0.8</v>
      </c>
      <c r="J11" s="199" t="s">
        <v>483</v>
      </c>
      <c r="K11" s="297" t="s">
        <v>674</v>
      </c>
      <c r="L11" s="682"/>
      <c r="M11" s="413"/>
      <c r="N11" s="136"/>
      <c r="O11" s="102"/>
      <c r="P11" s="185">
        <f t="shared" ref="P11:P13" si="2">+M11</f>
        <v>0</v>
      </c>
      <c r="Q11" s="413"/>
      <c r="R11" s="136"/>
      <c r="S11" s="102"/>
      <c r="T11" s="185">
        <f t="shared" ref="T11:T13" si="3">+Q11</f>
        <v>0</v>
      </c>
      <c r="U11" s="361"/>
      <c r="V11" s="136"/>
      <c r="W11" s="102"/>
      <c r="X11" s="185">
        <f t="shared" si="0"/>
        <v>0</v>
      </c>
      <c r="Y11" s="359"/>
      <c r="Z11" s="136"/>
      <c r="AA11" s="102"/>
      <c r="AB11" s="185">
        <f t="shared" si="1"/>
        <v>0</v>
      </c>
      <c r="AC11" s="25">
        <f>IFERROR(IF(P11&gt;=0.8,1,(P11*100%)/0.8),"-")</f>
        <v>0</v>
      </c>
      <c r="AD11" s="25">
        <f>IFERROR(IF(T11&gt;=0.8,1,(T11*100%)/0.8),"-")</f>
        <v>0</v>
      </c>
      <c r="AE11" s="25">
        <f>IFERROR(IF(X11&gt;=0.8,1,(X11*100%)/0.8),"-")</f>
        <v>0</v>
      </c>
      <c r="AF11" s="25">
        <f>IFERROR(IF(AB11&gt;=0.8,1,(AB11*100%)/0.8),"-")</f>
        <v>0</v>
      </c>
      <c r="AG11" s="157">
        <f t="shared" ref="AG11:AG13" si="4">IFERROR(AVERAGE(AC11:AF11),"-")</f>
        <v>0</v>
      </c>
      <c r="AH11" s="163"/>
      <c r="AI11" s="29"/>
      <c r="AJ11" s="27"/>
      <c r="AK11" s="193"/>
    </row>
    <row r="12" spans="1:37" ht="47.25" customHeight="1" x14ac:dyDescent="0.25">
      <c r="A12" s="716"/>
      <c r="B12" s="586"/>
      <c r="C12" s="677"/>
      <c r="D12" s="677"/>
      <c r="E12" s="677"/>
      <c r="F12" s="362" t="s">
        <v>714</v>
      </c>
      <c r="G12" s="136" t="s">
        <v>338</v>
      </c>
      <c r="H12" s="136" t="s">
        <v>337</v>
      </c>
      <c r="I12" s="73">
        <v>2</v>
      </c>
      <c r="J12" s="201" t="s">
        <v>483</v>
      </c>
      <c r="K12" s="311" t="s">
        <v>652</v>
      </c>
      <c r="L12" s="682"/>
      <c r="M12" s="413"/>
      <c r="N12" s="69"/>
      <c r="O12" s="102"/>
      <c r="P12" s="488">
        <f t="shared" si="2"/>
        <v>0</v>
      </c>
      <c r="Q12" s="487"/>
      <c r="R12" s="69"/>
      <c r="S12" s="102"/>
      <c r="T12" s="73">
        <f t="shared" si="3"/>
        <v>0</v>
      </c>
      <c r="U12" s="361"/>
      <c r="V12" s="136"/>
      <c r="W12" s="102"/>
      <c r="X12" s="185">
        <f t="shared" si="0"/>
        <v>0</v>
      </c>
      <c r="Y12" s="150"/>
      <c r="Z12" s="136"/>
      <c r="AA12" s="102"/>
      <c r="AB12" s="393">
        <f t="shared" si="1"/>
        <v>0</v>
      </c>
      <c r="AC12" s="156" t="s">
        <v>226</v>
      </c>
      <c r="AD12" s="25">
        <f>IFERROR(IF(T12&gt;=0.5,1,(T12*100%)/0.5),"-")</f>
        <v>0</v>
      </c>
      <c r="AE12" s="25">
        <f>IFERROR(IF(X12&gt;=0.5,1,(X12*100%)/0.5),"-")</f>
        <v>0</v>
      </c>
      <c r="AF12" s="25">
        <f>IFERROR(IF(Y12&gt;=0.5,1,(Y12*100%)/0.5),"-")</f>
        <v>0</v>
      </c>
      <c r="AG12" s="157">
        <f t="shared" si="4"/>
        <v>0</v>
      </c>
      <c r="AH12" s="163"/>
      <c r="AI12" s="29"/>
      <c r="AJ12" s="27"/>
      <c r="AK12" s="193"/>
    </row>
    <row r="13" spans="1:37" ht="60.75" customHeight="1" x14ac:dyDescent="0.25">
      <c r="A13" s="716"/>
      <c r="B13" s="586"/>
      <c r="C13" s="677"/>
      <c r="D13" s="677"/>
      <c r="E13" s="677"/>
      <c r="F13" s="362" t="s">
        <v>688</v>
      </c>
      <c r="G13" s="136" t="s">
        <v>339</v>
      </c>
      <c r="H13" s="136" t="s">
        <v>340</v>
      </c>
      <c r="I13" s="73">
        <v>1</v>
      </c>
      <c r="J13" s="201" t="s">
        <v>483</v>
      </c>
      <c r="K13" s="311" t="s">
        <v>670</v>
      </c>
      <c r="L13" s="736"/>
      <c r="M13" s="413"/>
      <c r="N13" s="69"/>
      <c r="O13" s="102"/>
      <c r="P13" s="488">
        <f t="shared" si="2"/>
        <v>0</v>
      </c>
      <c r="Q13" s="487"/>
      <c r="R13" s="69"/>
      <c r="S13" s="102"/>
      <c r="T13" s="73">
        <f t="shared" si="3"/>
        <v>0</v>
      </c>
      <c r="U13" s="361"/>
      <c r="V13" s="136"/>
      <c r="W13" s="102"/>
      <c r="X13" s="185">
        <f t="shared" si="0"/>
        <v>0</v>
      </c>
      <c r="Y13" s="150"/>
      <c r="Z13" s="136"/>
      <c r="AA13" s="102"/>
      <c r="AB13" s="393">
        <f t="shared" si="1"/>
        <v>0</v>
      </c>
      <c r="AC13" s="156" t="s">
        <v>226</v>
      </c>
      <c r="AD13" s="25">
        <f>IFERROR((T13*100%)/I13,"-")</f>
        <v>0</v>
      </c>
      <c r="AE13" s="25">
        <f>IFERROR((X13*100%)/I13,"-")</f>
        <v>0</v>
      </c>
      <c r="AF13" s="25">
        <f>IFERROR((AB13*100%)/I13,"-")</f>
        <v>0</v>
      </c>
      <c r="AG13" s="157">
        <f t="shared" si="4"/>
        <v>0</v>
      </c>
      <c r="AH13" s="163"/>
      <c r="AI13" s="29"/>
      <c r="AJ13" s="27"/>
      <c r="AK13" s="193"/>
    </row>
    <row r="14" spans="1:37" ht="26.25" customHeight="1" thickBot="1" x14ac:dyDescent="0.3">
      <c r="A14" s="601" t="s">
        <v>293</v>
      </c>
      <c r="B14" s="602"/>
      <c r="C14" s="602"/>
      <c r="D14" s="602"/>
      <c r="E14" s="602"/>
      <c r="F14" s="602"/>
      <c r="G14" s="602"/>
      <c r="H14" s="602"/>
      <c r="I14" s="602"/>
      <c r="J14" s="602"/>
      <c r="K14" s="602"/>
      <c r="L14" s="731"/>
      <c r="M14" s="333" t="str">
        <f>+IFERROR(AVERAGE(M7:M13),"-")</f>
        <v>-</v>
      </c>
      <c r="N14" s="192"/>
      <c r="O14" s="138"/>
      <c r="P14" s="717">
        <f>IFERROR(AVERAGE(P7:P13),"-")</f>
        <v>0</v>
      </c>
      <c r="Q14" s="333" t="str">
        <f>+IFERROR(AVERAGE(Q7:Q13),"-")</f>
        <v>-</v>
      </c>
      <c r="R14" s="192"/>
      <c r="S14" s="138"/>
      <c r="T14" s="717">
        <f>IFERROR(AVERAGE(T7:T13),"-")</f>
        <v>0</v>
      </c>
      <c r="U14" s="191" t="str">
        <f ca="1">+IFERROR(PR+OMEDIO(U7:U13),"-")</f>
        <v>-</v>
      </c>
      <c r="V14" s="192"/>
      <c r="W14" s="138"/>
      <c r="X14" s="684">
        <v>1</v>
      </c>
      <c r="Y14" s="191" t="str">
        <f ca="1">+IFERROR(PR+OMEDIO(Y7:Y13),"-")</f>
        <v>-</v>
      </c>
      <c r="Z14" s="192"/>
      <c r="AA14" s="138"/>
      <c r="AB14" s="684">
        <f>IFERROR(AVERAGE(AB7:AB13),"-")</f>
        <v>0</v>
      </c>
      <c r="AC14" s="170">
        <f t="shared" ref="AC14:AF14" si="5">IFERROR(AVERAGE(AC7:AC13),"-")</f>
        <v>0</v>
      </c>
      <c r="AD14" s="171">
        <f t="shared" si="5"/>
        <v>0</v>
      </c>
      <c r="AE14" s="171">
        <f>IFERROR(AVERAGE(AE7:AE13),"-")</f>
        <v>0</v>
      </c>
      <c r="AF14" s="56">
        <f t="shared" si="5"/>
        <v>0</v>
      </c>
      <c r="AG14" s="695">
        <f>IFERROR(AVERAGE(AG7:AG13),"-")</f>
        <v>0</v>
      </c>
      <c r="AH14" s="165"/>
      <c r="AI14" s="166"/>
      <c r="AJ14" s="167"/>
      <c r="AK14" s="168"/>
    </row>
    <row r="15" spans="1:37" ht="27" thickBot="1" x14ac:dyDescent="0.3">
      <c r="A15" s="28"/>
      <c r="B15" s="28"/>
      <c r="C15" s="28"/>
      <c r="D15" s="28"/>
      <c r="E15" s="28"/>
      <c r="F15" s="36"/>
      <c r="G15" s="28"/>
      <c r="H15" s="28"/>
      <c r="I15" s="28"/>
      <c r="J15" s="28"/>
      <c r="K15" s="28"/>
      <c r="L15" s="58"/>
      <c r="M15" s="181"/>
      <c r="N15" s="180"/>
      <c r="O15" s="187" t="s">
        <v>418</v>
      </c>
      <c r="P15" s="718"/>
      <c r="Q15" s="181"/>
      <c r="R15" s="180"/>
      <c r="S15" s="187" t="s">
        <v>418</v>
      </c>
      <c r="T15" s="718"/>
      <c r="U15" s="179"/>
      <c r="V15" s="180"/>
      <c r="W15" s="187" t="s">
        <v>422</v>
      </c>
      <c r="X15" s="639"/>
      <c r="Y15" s="179"/>
      <c r="Z15" s="180"/>
      <c r="AA15" s="187" t="s">
        <v>423</v>
      </c>
      <c r="AB15" s="639"/>
      <c r="AC15" s="172"/>
      <c r="AD15" s="173"/>
      <c r="AE15" s="174"/>
      <c r="AF15" s="158" t="s">
        <v>294</v>
      </c>
      <c r="AG15" s="696"/>
      <c r="AH15" s="28"/>
      <c r="AI15" s="28"/>
      <c r="AJ15" s="28"/>
      <c r="AK15" s="28"/>
    </row>
    <row r="17" spans="7:34" ht="45" x14ac:dyDescent="0.25">
      <c r="G17" s="589" t="s">
        <v>561</v>
      </c>
      <c r="H17" s="590"/>
      <c r="I17" s="590"/>
      <c r="J17" s="591"/>
      <c r="K17" s="255" t="s">
        <v>558</v>
      </c>
      <c r="L17" s="273" t="s">
        <v>559</v>
      </c>
      <c r="M17" s="256" t="s">
        <v>563</v>
      </c>
      <c r="N17" s="256" t="s">
        <v>564</v>
      </c>
      <c r="O17" s="257" t="s">
        <v>562</v>
      </c>
      <c r="P17" s="363"/>
      <c r="Q17" s="256" t="s">
        <v>563</v>
      </c>
      <c r="R17" s="256" t="s">
        <v>779</v>
      </c>
      <c r="S17" s="256" t="s">
        <v>564</v>
      </c>
      <c r="T17" s="257" t="s">
        <v>562</v>
      </c>
      <c r="U17" s="363"/>
      <c r="Z17" s="256" t="s">
        <v>563</v>
      </c>
      <c r="AA17" s="256" t="s">
        <v>779</v>
      </c>
      <c r="AB17" s="256" t="s">
        <v>695</v>
      </c>
      <c r="AC17" s="256" t="s">
        <v>699</v>
      </c>
      <c r="AD17" s="256" t="s">
        <v>564</v>
      </c>
      <c r="AE17" s="257" t="s">
        <v>562</v>
      </c>
      <c r="AH17" s="378"/>
    </row>
    <row r="18" spans="7:34" x14ac:dyDescent="0.25">
      <c r="G18" s="688" t="str">
        <f>+G7</f>
        <v>Seguridad, Protección y bienestar del personal en formación internado Docencia-Servicio</v>
      </c>
      <c r="H18" s="689"/>
      <c r="I18" s="689"/>
      <c r="J18" s="690"/>
      <c r="K18" s="259">
        <v>0.6</v>
      </c>
      <c r="L18" s="411">
        <v>0.4</v>
      </c>
      <c r="M18" s="259">
        <f>+P7</f>
        <v>0</v>
      </c>
      <c r="N18" s="259">
        <f>IFERROR(IF(M18&gt;=0.6,1,(M18*100%)/0.6),"-")</f>
        <v>0</v>
      </c>
      <c r="O18" s="259">
        <f>IFERROR(+IF(N18=100%,H18,(+N18*H18)),"-")</f>
        <v>0</v>
      </c>
      <c r="P18" s="364"/>
      <c r="Q18" s="259">
        <f>+T7</f>
        <v>0</v>
      </c>
      <c r="R18" s="259">
        <f>+M18</f>
        <v>0</v>
      </c>
      <c r="S18" s="259">
        <f>IFERROR(IF(AVERAGE(Q18,R18)&gt;=0.6,1,(AVERAGE(Q18,R18)*100%)/0.6),"-")</f>
        <v>0</v>
      </c>
      <c r="T18" s="259">
        <f>IFERROR(+IF(S18=100%,L18,(+S18*L18)),"-")</f>
        <v>0</v>
      </c>
      <c r="U18" s="364"/>
      <c r="Z18" s="259">
        <f>+AB7</f>
        <v>0</v>
      </c>
      <c r="AA18" s="259"/>
      <c r="AB18" s="259">
        <f>+Q18</f>
        <v>0</v>
      </c>
      <c r="AC18" s="259">
        <f>+IFERROR(U24," ")</f>
        <v>0</v>
      </c>
      <c r="AD18" s="259">
        <f>IFERROR(IF(AVERAGE(Z18,AB18,AC18)&gt;=0.6,1,(AVERAGE(Z18,AB18,AC18)*100%)/0.6),"-")</f>
        <v>0</v>
      </c>
      <c r="AE18" s="259">
        <f>IFERROR(+IF(AD18=100%,L18,(+AD18*L18)),"-")</f>
        <v>0</v>
      </c>
      <c r="AH18" s="691"/>
    </row>
    <row r="19" spans="7:34" x14ac:dyDescent="0.25">
      <c r="G19" s="688" t="str">
        <f>+G8</f>
        <v>Resultados de aprendizaje y capacitación docente  Docencia-Servicio</v>
      </c>
      <c r="H19" s="689"/>
      <c r="I19" s="689"/>
      <c r="J19" s="690"/>
      <c r="K19" s="259" t="s">
        <v>141</v>
      </c>
      <c r="L19" s="411">
        <v>0.3</v>
      </c>
      <c r="M19" s="259">
        <f>+P9</f>
        <v>0</v>
      </c>
      <c r="N19" s="259">
        <f>IFERROR(IF(M19&gt;=0.9,1,(M19*100%)/0.9),"-")</f>
        <v>0</v>
      </c>
      <c r="O19" s="259">
        <f>+IFERROR(IF(N19=100%,H19,(+N19*H19)),"-")</f>
        <v>0</v>
      </c>
      <c r="P19" s="364"/>
      <c r="Q19" s="259">
        <f>+T9</f>
        <v>0</v>
      </c>
      <c r="R19" s="259">
        <f>+M19</f>
        <v>0</v>
      </c>
      <c r="S19" s="259">
        <f>IFERROR(IF(AVERAGE(Q19,R19)&gt;=0.9,1,(AVERAGE(Q19,R19)*100%)/0.9),"-")</f>
        <v>0</v>
      </c>
      <c r="T19" s="259">
        <f>+IFERROR(IF(S19=100%,L19,(+S19*L19)),"-")</f>
        <v>0</v>
      </c>
      <c r="U19" s="364"/>
      <c r="Z19" s="259">
        <f>+AB9</f>
        <v>0</v>
      </c>
      <c r="AA19" s="259"/>
      <c r="AB19" s="259">
        <f>+Q19</f>
        <v>0</v>
      </c>
      <c r="AC19" s="259">
        <f>+IFERROR(U25," ")</f>
        <v>0</v>
      </c>
      <c r="AD19" s="259">
        <f>IFERROR(IF(AVERAGE(Z19,AB19,AC19)&gt;=0.6,1,(AVERAGE(Z19,AB19,AC19)*100%)/0.6),"-")</f>
        <v>0</v>
      </c>
      <c r="AE19" s="259">
        <f>IFERROR(+IF(AD19=100%,L19,(+AD19*L19)),"-")</f>
        <v>0</v>
      </c>
      <c r="AH19" s="730"/>
    </row>
    <row r="20" spans="7:34" x14ac:dyDescent="0.25">
      <c r="G20" s="688" t="str">
        <f>+G11</f>
        <v>Productos de Investigación publicados en Revista</v>
      </c>
      <c r="H20" s="689"/>
      <c r="I20" s="689"/>
      <c r="J20" s="690"/>
      <c r="K20" s="259">
        <v>0.8</v>
      </c>
      <c r="L20" s="411">
        <v>0.1</v>
      </c>
      <c r="M20" s="259">
        <f>+P11</f>
        <v>0</v>
      </c>
      <c r="N20" s="259">
        <f>IFERROR(IF(M20&gt;=0.9,1,(M20*100%)/0.9),"-")</f>
        <v>0</v>
      </c>
      <c r="O20" s="259">
        <f>+IFERROR(IF(N20=100%,H20,(+N20*H20)),"-")</f>
        <v>0</v>
      </c>
      <c r="P20" s="364"/>
      <c r="Q20" s="259">
        <f>+T11</f>
        <v>0</v>
      </c>
      <c r="R20" s="259">
        <f>+M20</f>
        <v>0</v>
      </c>
      <c r="S20" s="259">
        <f>IFERROR(IF(AVERAGE(Q20,R20)&gt;=0.8,1,(AVERAGE(Q20,R20)*100%)/0.8),"-")</f>
        <v>0</v>
      </c>
      <c r="T20" s="259">
        <f>+IFERROR(IF(S20=100%,L20,(+S20*L20)),"-")</f>
        <v>0</v>
      </c>
      <c r="U20" s="364"/>
      <c r="Z20" s="439">
        <f>+AB11</f>
        <v>0</v>
      </c>
      <c r="AA20" s="439"/>
      <c r="AB20" s="259"/>
      <c r="AC20" s="259"/>
      <c r="AD20" s="259">
        <f>IFERROR(IF(AVERAGE(Z20:AB20:AC20)&gt;=17,1,(AVERAGE(Z20:AB20:AC20)*100%)/17),"-")</f>
        <v>0</v>
      </c>
      <c r="AE20" s="259">
        <f>IFERROR(+IF(AD20=100%,L20,(+AD20*L20)),"-")</f>
        <v>0</v>
      </c>
      <c r="AH20" s="730"/>
    </row>
    <row r="21" spans="7:34" ht="21" x14ac:dyDescent="0.35">
      <c r="L21" s="287">
        <f>SUM(L18:L20)</f>
        <v>0.79999999999999993</v>
      </c>
      <c r="O21" s="321">
        <f>IFERROR(SUM(O18:O20),"-")</f>
        <v>0</v>
      </c>
      <c r="P21" s="365"/>
      <c r="T21" s="321">
        <f>IFERROR(SUM(T18:T20),"-")</f>
        <v>0</v>
      </c>
      <c r="U21" s="365"/>
      <c r="AE21" s="321">
        <f>IFERROR(SUM(AE18:AE20),"-")</f>
        <v>0</v>
      </c>
    </row>
    <row r="23" spans="7:34" ht="45" x14ac:dyDescent="0.25">
      <c r="U23" s="256" t="s">
        <v>563</v>
      </c>
      <c r="V23" s="256" t="s">
        <v>695</v>
      </c>
      <c r="W23" s="256" t="s">
        <v>779</v>
      </c>
      <c r="X23" s="256" t="s">
        <v>564</v>
      </c>
      <c r="Y23" s="257" t="s">
        <v>562</v>
      </c>
    </row>
    <row r="24" spans="7:34" x14ac:dyDescent="0.25">
      <c r="U24" s="259">
        <f>+X7</f>
        <v>0</v>
      </c>
      <c r="V24" s="259">
        <f>+Q18</f>
        <v>0</v>
      </c>
      <c r="W24" s="259">
        <f>+M18</f>
        <v>0</v>
      </c>
      <c r="X24" s="259">
        <f>IFERROR(IF(AVERAGE(U24:W24)&gt;=0.6,1,(AVERAGE(U24:W24)*100%)/0.6),"-")</f>
        <v>0</v>
      </c>
      <c r="Y24" s="259">
        <f>IFERROR(+IF(X24=100%,L18,(+X24*L18)),"-")</f>
        <v>0</v>
      </c>
    </row>
    <row r="25" spans="7:34" x14ac:dyDescent="0.25">
      <c r="U25" s="259">
        <f>+X9</f>
        <v>0</v>
      </c>
      <c r="V25" s="259">
        <f>+Q19</f>
        <v>0</v>
      </c>
      <c r="W25" s="259">
        <f>+M19</f>
        <v>0</v>
      </c>
      <c r="X25" s="259">
        <f>IFERROR(IF(AVERAGE(U25:W25)&gt;=0.9,1,(AVERAGE(U25:W25)*100%)/0.9),"-")</f>
        <v>0</v>
      </c>
      <c r="Y25" s="259">
        <f>IFERROR(+IF(X25=100%,L19,(+X25*L19)),"-")</f>
        <v>0</v>
      </c>
    </row>
    <row r="26" spans="7:34" x14ac:dyDescent="0.25">
      <c r="U26" s="259">
        <f>+X11</f>
        <v>0</v>
      </c>
      <c r="V26" s="259">
        <f>+Q20</f>
        <v>0</v>
      </c>
      <c r="W26" s="259">
        <f>+M20</f>
        <v>0</v>
      </c>
      <c r="X26" s="259">
        <f>IFERROR(IF(AVERAGE(U26:W26)&gt;=0.3,1,(AVERAGE(U26:W26)*100%)/0.3),"-")</f>
        <v>0</v>
      </c>
      <c r="Y26" s="259">
        <f>IFERROR(+IF(X26=100%,L20,(+X26*L20)),"-")</f>
        <v>0</v>
      </c>
    </row>
    <row r="27" spans="7:34" ht="21" x14ac:dyDescent="0.35">
      <c r="Y27" s="321">
        <f>IFERROR(SUM(Y24:Y26),"-")</f>
        <v>0</v>
      </c>
    </row>
  </sheetData>
  <mergeCells count="52">
    <mergeCell ref="A14:L14"/>
    <mergeCell ref="A7:A13"/>
    <mergeCell ref="B7:B13"/>
    <mergeCell ref="C7:C13"/>
    <mergeCell ref="D7:D13"/>
    <mergeCell ref="E7:E13"/>
    <mergeCell ref="F7:F10"/>
    <mergeCell ref="L7:L13"/>
    <mergeCell ref="G8:G10"/>
    <mergeCell ref="J5:J6"/>
    <mergeCell ref="AG14:AG15"/>
    <mergeCell ref="P14:P15"/>
    <mergeCell ref="AH18:AH20"/>
    <mergeCell ref="X5:X6"/>
    <mergeCell ref="AB5:AB6"/>
    <mergeCell ref="AC5:AG5"/>
    <mergeCell ref="X14:X15"/>
    <mergeCell ref="T14:T15"/>
    <mergeCell ref="AB14:AB15"/>
    <mergeCell ref="AH5:AK5"/>
    <mergeCell ref="G20:J20"/>
    <mergeCell ref="G17:J17"/>
    <mergeCell ref="G18:J18"/>
    <mergeCell ref="G19:J19"/>
    <mergeCell ref="G5:G6"/>
    <mergeCell ref="Z5:Z6"/>
    <mergeCell ref="AA5:AA6"/>
    <mergeCell ref="L5:L6"/>
    <mergeCell ref="T5:T6"/>
    <mergeCell ref="V5:V6"/>
    <mergeCell ref="W5:W6"/>
    <mergeCell ref="S5:S6"/>
    <mergeCell ref="R5:R6"/>
    <mergeCell ref="N5:N6"/>
    <mergeCell ref="O5:O6"/>
    <mergeCell ref="P5:P6"/>
    <mergeCell ref="K5:K6"/>
    <mergeCell ref="AI1:AK2"/>
    <mergeCell ref="A2:B3"/>
    <mergeCell ref="C2:AH3"/>
    <mergeCell ref="AI3:AK3"/>
    <mergeCell ref="A4:D4"/>
    <mergeCell ref="A1:B1"/>
    <mergeCell ref="C1:AH1"/>
    <mergeCell ref="H5:H6"/>
    <mergeCell ref="I5:I6"/>
    <mergeCell ref="A5:A6"/>
    <mergeCell ref="B5:B6"/>
    <mergeCell ref="C5:C6"/>
    <mergeCell ref="D5:D6"/>
    <mergeCell ref="E5:E6"/>
    <mergeCell ref="F5:F6"/>
  </mergeCells>
  <phoneticPr fontId="36" type="noConversion"/>
  <conditionalFormatting sqref="AC7:AG13 AG14">
    <cfRule type="cellIs" dxfId="11" priority="1" operator="lessThan">
      <formula>0.6</formula>
    </cfRule>
    <cfRule type="cellIs" dxfId="10" priority="2" operator="between">
      <formula>60%</formula>
      <formula>79%</formula>
    </cfRule>
    <cfRule type="cellIs" dxfId="9" priority="3" operator="between">
      <formula>80%</formula>
      <formula>100%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2"/>
  <dimension ref="A3:Z41"/>
  <sheetViews>
    <sheetView topLeftCell="C13" workbookViewId="0">
      <selection activeCell="P31" sqref="P31"/>
    </sheetView>
  </sheetViews>
  <sheetFormatPr baseColWidth="10" defaultRowHeight="15" x14ac:dyDescent="0.25"/>
  <cols>
    <col min="3" max="3" width="40.42578125" customWidth="1"/>
    <col min="4" max="4" width="7.28515625" customWidth="1"/>
    <col min="5" max="5" width="6.28515625" customWidth="1"/>
    <col min="6" max="6" width="5.85546875" customWidth="1"/>
    <col min="7" max="7" width="7.140625" customWidth="1"/>
    <col min="8" max="8" width="5.85546875" customWidth="1"/>
    <col min="9" max="10" width="7.7109375" customWidth="1"/>
    <col min="11" max="11" width="8.5703125" customWidth="1"/>
    <col min="12" max="12" width="5.85546875" customWidth="1"/>
    <col min="13" max="13" width="8.140625" customWidth="1"/>
    <col min="14" max="14" width="7.7109375" customWidth="1"/>
    <col min="15" max="15" width="7.140625" customWidth="1"/>
    <col min="16" max="16" width="7.28515625" customWidth="1"/>
    <col min="17" max="17" width="6.5703125" customWidth="1"/>
    <col min="18" max="21" width="5.85546875" customWidth="1"/>
    <col min="22" max="22" width="7.5703125" customWidth="1"/>
    <col min="23" max="24" width="5.85546875" customWidth="1"/>
    <col min="25" max="25" width="6.42578125" customWidth="1"/>
    <col min="26" max="26" width="8.28515625" customWidth="1"/>
  </cols>
  <sheetData>
    <row r="3" spans="1:26" ht="88.5" customHeight="1" x14ac:dyDescent="0.25">
      <c r="A3" s="47" t="s">
        <v>760</v>
      </c>
      <c r="C3" s="416" t="s">
        <v>761</v>
      </c>
      <c r="D3" s="417" t="s">
        <v>506</v>
      </c>
      <c r="E3" s="417" t="s">
        <v>507</v>
      </c>
      <c r="F3" s="417" t="s">
        <v>511</v>
      </c>
      <c r="G3" s="417" t="s">
        <v>512</v>
      </c>
      <c r="H3" s="417" t="s">
        <v>514</v>
      </c>
      <c r="I3" s="417" t="s">
        <v>515</v>
      </c>
      <c r="J3" s="417" t="s">
        <v>516</v>
      </c>
      <c r="K3" s="417" t="s">
        <v>517</v>
      </c>
      <c r="L3" s="417" t="s">
        <v>519</v>
      </c>
      <c r="M3" s="417" t="s">
        <v>520</v>
      </c>
      <c r="N3" s="417" t="s">
        <v>521</v>
      </c>
      <c r="O3" s="417" t="s">
        <v>522</v>
      </c>
      <c r="P3" s="417" t="s">
        <v>523</v>
      </c>
      <c r="Q3" s="417" t="s">
        <v>526</v>
      </c>
      <c r="R3" s="417" t="s">
        <v>527</v>
      </c>
      <c r="S3" s="417" t="s">
        <v>528</v>
      </c>
      <c r="T3" s="417" t="s">
        <v>529</v>
      </c>
      <c r="U3" s="417" t="s">
        <v>530</v>
      </c>
      <c r="V3" s="417" t="s">
        <v>531</v>
      </c>
      <c r="W3" s="417" t="s">
        <v>532</v>
      </c>
      <c r="X3" s="417" t="s">
        <v>533</v>
      </c>
      <c r="Y3" s="417" t="s">
        <v>534</v>
      </c>
      <c r="Z3" s="418" t="s">
        <v>762</v>
      </c>
    </row>
    <row r="4" spans="1:26" ht="22.5" x14ac:dyDescent="0.25">
      <c r="C4" s="419" t="s">
        <v>236</v>
      </c>
      <c r="D4" s="286" t="e" cm="1">
        <f t="array" ref="D4">+INDEX('Programa Humanizacion'!$S$12:$V$12,MATCH(C4&amp;$A$3,'Programa Humanizacion'!$S$5:$V$5&amp;'Programa Humanizacion'!$L$12,0))</f>
        <v>#N/A</v>
      </c>
      <c r="E4" s="286"/>
      <c r="F4" s="416"/>
      <c r="G4" s="286"/>
      <c r="H4" s="416"/>
      <c r="I4" s="420" t="str">
        <f t="array" ref="I4">+IFERROR(INDEX([1]PEGIF!$M$29:$V$29,MATCH(C4&amp;$A$3,[1]PEGIF!$M$5:$S$5&amp;[1]PEGIF!$L$29,0))," ")</f>
        <v xml:space="preserve"> </v>
      </c>
      <c r="J4" s="420" t="str">
        <f>+IFERROR(INDEX([1]Costos!$M$12:$O$12,MATCH(C4&amp;$A$3,[1]Costos!$M$5:$O$5&amp;[1]Costos!$L$12,0))," ")</f>
        <v xml:space="preserve"> </v>
      </c>
      <c r="K4" s="420" t="str">
        <f>+IFERROR(INDEX('[1]Prevención Daño Ant'!$M$12:$O$12,MATCH(C4&amp;$A$3,'[1]Prevención Daño Ant'!$M$5:$O$5&amp;'[1]Prevención Daño Ant'!$L$12,0))," ")</f>
        <v xml:space="preserve"> </v>
      </c>
      <c r="L4" s="416"/>
      <c r="M4" s="420" t="str">
        <f>+IFERROR(INDEX('[1]Integración SI'!$M$10:$P$10,MATCH(C4&amp;$A$3,'[1]Integración SI'!$M$5:$P$5&amp;'[1]Integración SI'!$L$10,0))," ")</f>
        <v xml:space="preserve"> </v>
      </c>
      <c r="N4" s="420" t="str">
        <f>+IFERROR(INDEX('[1]Construcción-Adecuación'!$M$12:$O$12,MATCH(C4&amp;$A$3,'[1]Construcción-Adecuación'!$M$5:$O$5&amp;'[1]Construcción-Adecuación'!$L$12,0))," ")</f>
        <v xml:space="preserve"> </v>
      </c>
      <c r="O4" s="420" t="str">
        <f>+IFERROR(INDEX('[1]Gestión Tecnología'!$M$10:$P$10,MATCH(C4&amp;$A$3,'[1]Gestión Tecnología'!$M$5:$P$5&amp;'[1]Gestión Tecnología'!$L$10,0))," ")</f>
        <v xml:space="preserve"> </v>
      </c>
      <c r="P4" s="420" t="str">
        <f>+IFERROR(INDEX([1]PEGITH!$M$16:$T$16,MATCH(C4&amp;$A$3,[1]PEGITH!$M$5:$T$5&amp;[1]PEGITH!$L$16,0))," ")</f>
        <v xml:space="preserve"> </v>
      </c>
      <c r="Q4" s="420" t="str">
        <f>+IFERROR(INDEX('[1]ISO 140012015'!$M$8:$O$8,MATCH(C4&amp;$A$3,'[1]ISO 140012015'!$M$5:$O$5&amp;'[1]ISO 140012015'!$L$8,0))," ")</f>
        <v xml:space="preserve"> </v>
      </c>
      <c r="R4" s="420" t="str">
        <f>+IFERROR(INDEX('[1]ISO 450012018'!$M$8:$O$8,MATCH(C4&amp;$A$3,'[1]ISO 450012018'!$M$5:$O$5&amp;'[1]ISO 450012018'!$L$8,0))," ")</f>
        <v xml:space="preserve"> </v>
      </c>
      <c r="S4" s="420" t="str">
        <f>+IFERROR(INDEX('[1]ISO 90012015'!$M$8:$O$8,MATCH(C4&amp;$A$3,'[1]ISO 90012015'!$M$5:$O$5&amp;'[1]ISO 90012015'!$L$8,0))," ")</f>
        <v xml:space="preserve"> </v>
      </c>
      <c r="T4" s="420" t="str">
        <f>+IFERROR(INDEX([1]BPE!$M$8:$O$8,MATCH(C4&amp;$A$3,[1]BPE!$M$5:$O$5&amp;[1]BPE!$L$8,0))," ")</f>
        <v xml:space="preserve"> </v>
      </c>
      <c r="U4" s="420" t="str">
        <f>+IFERROR(INDEX([1]BPM!$M$8:$O$8,MATCH(C4&amp;$A$3,[1]BPM!$M$5:$O$5&amp;[1]BPM!$L$8,0))," ")</f>
        <v xml:space="preserve"> </v>
      </c>
      <c r="V4" s="420" t="str">
        <f>+IFERROR(INDEX('[1]Gestion Investigación'!$M$11:$O$11,MATCH(C4&amp;$A$3,'[1]Gestion Investigación'!$M$5:$O$5&amp;'[1]Gestion Investigación'!$L$11,0))," ")</f>
        <v xml:space="preserve"> </v>
      </c>
      <c r="W4" s="420" t="str">
        <f>+IFERROR(INDEX('[1]Líneas Investigación'!$M$8:$O$8,MATCH(C4&amp;$A$3,'[1]Líneas Investigación'!$M$5:$O$5&amp;'[1]Líneas Investigación'!$L$8,0))," ")</f>
        <v xml:space="preserve"> </v>
      </c>
      <c r="X4" s="420" t="str">
        <f>+IFERROR(INDEX([1]Congresos!$M$8:$O$8,MATCH(C4&amp;$A$3,[1]Congresos!$M$5:$O$5&amp;[1]Congresos!$L$8,0))," ")</f>
        <v xml:space="preserve"> </v>
      </c>
      <c r="Y4" s="420" t="str">
        <f>+IFERROR(INDEX('[1]Alianzas Estratégicas'!$M$8:$O$8,MATCH(C4&amp;$A$3,'[1]Alianzas Estratégicas'!$M$5:$O$5&amp;'[1]Alianzas Estratégicas'!$L$8,0))," ")</f>
        <v xml:space="preserve"> </v>
      </c>
      <c r="Z4" s="421" t="e">
        <f>+AVERAGE(D4:Y4)</f>
        <v>#N/A</v>
      </c>
    </row>
    <row r="5" spans="1:26" x14ac:dyDescent="0.25">
      <c r="C5" s="419" t="s">
        <v>763</v>
      </c>
      <c r="D5" s="286" t="str" cm="1">
        <f t="array" ref="D5">+IFERROR(INDEX('Programa Humanizacion'!$S$12:$V$12,MATCH(C5&amp;$A$3,'Programa Humanizacion'!$S$5:$V$5&amp;'Programa Humanizacion'!$L$12,0)),"")</f>
        <v/>
      </c>
      <c r="E5" s="286" t="str" cm="1">
        <f t="array" ref="E5">+IFERROR(INDEX('Modelo Atención'!$W$8:$AD$8,MATCH(C5&amp;$A$3,'Modelo Atención'!$W$5:$AD$5&amp;'Modelo Atención'!$L$8,0))," ")</f>
        <v xml:space="preserve"> </v>
      </c>
      <c r="F5" s="416"/>
      <c r="G5" s="286" t="str" cm="1">
        <f t="array" ref="G5">+IFERROR(INDEX('Seguridad Paciente'!$AA$11:$AL$11,MATCH(C5&amp;$A$3,'Seguridad Paciente'!$AA$5:$AL$5&amp;'Seguridad Paciente'!$L$11,0))," ")</f>
        <v xml:space="preserve"> </v>
      </c>
      <c r="H5" s="416"/>
      <c r="I5" s="420" t="str" cm="1">
        <f t="array" ref="I5">+IFERROR(INDEX(PEGIF!$W$29:$AF$29,MATCH(C5&amp;$A$3,PEGIF!$W$5:$AC$5&amp;PEGIF!$L$29,0))," ")</f>
        <v xml:space="preserve"> </v>
      </c>
      <c r="J5" s="420" t="str">
        <f>+IFERROR(INDEX([1]Costos!$M$12:$O$12,MATCH(C5&amp;$A$3,[1]Costos!$M$5:$O$5&amp;[1]Costos!$L$12,0))," ")</f>
        <v xml:space="preserve"> </v>
      </c>
      <c r="K5" s="420" t="str" cm="1">
        <f t="array" ref="K5">+IFERROR(INDEX('Prevención Daño Ant'!$Q$11:$Q$11,MATCH(C5&amp;$A$3,'Prevención Daño Ant'!$Q$5:$Q$5&amp;'Prevención Daño Ant'!$L$11,0))," ")</f>
        <v xml:space="preserve"> </v>
      </c>
      <c r="L5" s="416"/>
      <c r="M5" s="420" t="str">
        <f>+IFERROR(INDEX('[1]Integración SI'!$M$10:$P$10,MATCH(C5&amp;$A$3,'[1]Integración SI'!$M$5:$P$5&amp;'[1]Integración SI'!$L$10,0))," ")</f>
        <v xml:space="preserve"> </v>
      </c>
      <c r="N5" s="420" t="str">
        <f>+IFERROR(INDEX('[1]Construcción-Adecuación'!$M$12:$O$12,MATCH(C5&amp;$A$3,'[1]Construcción-Adecuación'!$M$5:$O$5&amp;'[1]Construcción-Adecuación'!$L$12,0))," ")</f>
        <v xml:space="preserve"> </v>
      </c>
      <c r="O5" s="420" t="str">
        <f>+IFERROR(INDEX('[1]Gestión Tecnología'!$M$10:$P$10,MATCH(C5&amp;$A$3,'[1]Gestión Tecnología'!$M$5:$P$5&amp;'[1]Gestión Tecnología'!$L$10,0))," ")</f>
        <v xml:space="preserve"> </v>
      </c>
      <c r="P5" s="420" t="str">
        <f>+IFERROR(INDEX([1]PEGITH!$M$16:$T$16,MATCH(C5&amp;$A$3,[1]PEGITH!$M$5:$T$5&amp;[1]PEGITH!$L$16,0))," ")</f>
        <v xml:space="preserve"> </v>
      </c>
      <c r="Q5" s="420" t="str">
        <f>+IFERROR(INDEX('[1]ISO 140012015'!$M$8:$O$8,MATCH(C5&amp;$A$3,'[1]ISO 140012015'!$M$5:$O$5&amp;'[1]ISO 140012015'!$L$8,0))," ")</f>
        <v xml:space="preserve"> </v>
      </c>
      <c r="R5" s="420" t="str">
        <f>+IFERROR(INDEX('[1]ISO 450012018'!$M$8:$O$8,MATCH(C5&amp;$A$3,'[1]ISO 450012018'!$M$5:$O$5&amp;'[1]ISO 450012018'!$L$8,0))," ")</f>
        <v xml:space="preserve"> </v>
      </c>
      <c r="S5" s="420" t="str">
        <f>+IFERROR(INDEX('[1]ISO 90012015'!$M$8:$O$8,MATCH(C5&amp;$A$3,'[1]ISO 90012015'!$M$5:$O$5&amp;'[1]ISO 90012015'!$L$8,0))," ")</f>
        <v xml:space="preserve"> </v>
      </c>
      <c r="T5" s="420" t="str">
        <f>+IFERROR(INDEX([1]BPE!$M$8:$O$8,MATCH(C5&amp;$A$3,[1]BPE!$M$5:$O$5&amp;[1]BPE!$L$8,0))," ")</f>
        <v xml:space="preserve"> </v>
      </c>
      <c r="U5" s="420" t="str">
        <f>+IFERROR(INDEX([1]BPM!$M$8:$O$8,MATCH(C5&amp;$A$3,[1]BPM!$M$5:$O$5&amp;[1]BPM!$L$8,0))," ")</f>
        <v xml:space="preserve"> </v>
      </c>
      <c r="V5" s="420">
        <f t="array" ref="V5">+INDEX('[1]Gestion Investigación'!$M$11:$O$11,MATCH(C5&amp;$A$3,'[1]Gestion Investigación'!$M$5:$O$5&amp;'[1]Gestion Investigación'!$L$11,0))</f>
        <v>0.8833333333333333</v>
      </c>
      <c r="W5" s="286">
        <f t="array" ref="W5">+INDEX('[1]Líneas Investigación'!$M$8:$O$8,MATCH(C5&amp;$A$3,'[1]Líneas Investigación'!$M$5:$O$5&amp;'[1]Líneas Investigación'!$L$8,0))</f>
        <v>0.9</v>
      </c>
      <c r="X5" s="420" t="str">
        <f t="array" ref="X5">+INDEX([1]Congresos!$M$8:$O$8,MATCH(C5&amp;$A$3,[1]Congresos!$M$5:$O$5&amp;[1]Congresos!$L$8,0))</f>
        <v>.</v>
      </c>
      <c r="Y5" s="286">
        <f t="array" ref="Y5">+INDEX('[1]Alianzas Estratégicas'!$M$8:$O$8,MATCH(C5&amp;$A$3,'[1]Alianzas Estratégicas'!$M$5:$O$5&amp;'[1]Alianzas Estratégicas'!$L$8,0))</f>
        <v>1</v>
      </c>
      <c r="Z5" s="286">
        <f>+AVERAGE(D5:Y5)</f>
        <v>0.9277777777777777</v>
      </c>
    </row>
    <row r="6" spans="1:26" x14ac:dyDescent="0.25">
      <c r="C6" s="419" t="s">
        <v>764</v>
      </c>
      <c r="D6" s="286" t="str" cm="1">
        <f t="array" ref="D6">+IFERROR(INDEX('Programa Humanizacion'!$S$12:$V$12,MATCH(C6&amp;$A$3,'Programa Humanizacion'!$S$5:$V$5&amp;'Programa Humanizacion'!$L$12,0)),"")</f>
        <v/>
      </c>
      <c r="E6" s="286" t="str" cm="1">
        <f t="array" ref="E6">+IFERROR(INDEX('Modelo Atención'!$W$8:$AD$8,MATCH(C6&amp;$A$3,'Modelo Atención'!$W$5:$AD$5&amp;'Modelo Atención'!$L$8,0))," ")</f>
        <v xml:space="preserve"> </v>
      </c>
      <c r="F6" s="416"/>
      <c r="G6" s="286" t="str" cm="1">
        <f t="array" ref="G6">+IFERROR(INDEX('Seguridad Paciente'!$AA$11:$AL$11,MATCH(C6&amp;$A$3,'Seguridad Paciente'!$AA$5:$AL$5&amp;'Seguridad Paciente'!$L$11,0))," ")</f>
        <v xml:space="preserve"> </v>
      </c>
      <c r="H6" s="416"/>
      <c r="I6" s="420" t="str" cm="1">
        <f t="array" ref="I6">+IFERROR(INDEX(PEGIF!$W$29:$AF$29,MATCH(C6&amp;$A$3,PEGIF!$W$5:$AC$5&amp;PEGIF!$L$29,0))," ")</f>
        <v xml:space="preserve"> </v>
      </c>
      <c r="J6" s="420" t="str">
        <f>+IFERROR(INDEX([1]Costos!$M$12:$O$12,MATCH(C6&amp;$A$3,[1]Costos!$M$5:$O$5&amp;[1]Costos!$L$12,0))," ")</f>
        <v xml:space="preserve"> </v>
      </c>
      <c r="K6" s="420" t="str" cm="1">
        <f t="array" ref="K6">+IFERROR(INDEX('Prevención Daño Ant'!$Q$11:$Q$11,MATCH(C6&amp;$A$3,'Prevención Daño Ant'!$Q$5:$Q$5&amp;'Prevención Daño Ant'!$L$11,0))," ")</f>
        <v xml:space="preserve"> </v>
      </c>
      <c r="L6" s="287">
        <f>+AVERAGE([1]MIPG!M7,[1]MIPG!N7)</f>
        <v>0.73350000000000004</v>
      </c>
      <c r="M6" s="420" t="str">
        <f>+IFERROR(INDEX('[1]Integración SI'!$M$10:$P$10,MATCH(C6&amp;$A$3,'[1]Integración SI'!$M$5:$P$5&amp;'[1]Integración SI'!$L$10,0))," ")</f>
        <v xml:space="preserve"> </v>
      </c>
      <c r="N6" s="420" t="str">
        <f>+IFERROR(INDEX('[1]Construcción-Adecuación'!$M$12:$O$12,MATCH(C6&amp;$A$3,'[1]Construcción-Adecuación'!$M$5:$O$5&amp;'[1]Construcción-Adecuación'!$L$12,0))," ")</f>
        <v xml:space="preserve"> </v>
      </c>
      <c r="O6" s="420" t="str">
        <f>+IFERROR(INDEX('[1]Gestión Tecnología'!$M$10:$P$10,MATCH(C6&amp;$A$3,'[1]Gestión Tecnología'!$M$5:$P$5&amp;'[1]Gestión Tecnología'!$L$10,0))," ")</f>
        <v xml:space="preserve"> </v>
      </c>
      <c r="P6" s="420">
        <f t="array" ref="P6">+INDEX([1]PEGITH!$M$16:$T$16,MATCH(C6&amp;$A$3,[1]PEGITH!$M$5:$T$5&amp;[1]PEGITH!$L$16,0))</f>
        <v>0.92874999999999996</v>
      </c>
      <c r="Q6" s="420" t="str">
        <f>+IFERROR(INDEX('[1]ISO 140012015'!$M$8:$O$8,MATCH(C6&amp;$A$3,'[1]ISO 140012015'!$M$5:$O$5&amp;'[1]ISO 140012015'!$L$8,0))," ")</f>
        <v xml:space="preserve"> </v>
      </c>
      <c r="R6" s="420" t="str">
        <f>+IFERROR(INDEX('[1]ISO 450012018'!$M$8:$O$8,MATCH(C6&amp;$A$3,'[1]ISO 450012018'!$M$5:$O$5&amp;'[1]ISO 450012018'!$L$8,0))," ")</f>
        <v xml:space="preserve"> </v>
      </c>
      <c r="S6" s="420" t="str">
        <f>+IFERROR(INDEX('[1]ISO 90012015'!$M$8:$O$8,MATCH(C6&amp;$A$3,'[1]ISO 90012015'!$M$5:$O$5&amp;'[1]ISO 90012015'!$L$8,0))," ")</f>
        <v xml:space="preserve"> </v>
      </c>
      <c r="T6" s="420" t="str">
        <f>+IFERROR(INDEX([1]BPE!$M$8:$O$8,MATCH(C6&amp;$A$3,[1]BPE!$M$5:$O$5&amp;[1]BPE!$L$8,0))," ")</f>
        <v xml:space="preserve"> </v>
      </c>
      <c r="U6" s="420" t="str">
        <f>+IFERROR(INDEX([1]BPM!$M$8:$O$8,MATCH(C6&amp;$A$3,[1]BPM!$M$5:$O$5&amp;[1]BPM!$L$8,0))," ")</f>
        <v xml:space="preserve"> </v>
      </c>
      <c r="V6" s="420" t="str">
        <f>+IFERROR(INDEX('[1]Gestion Investigación'!$M$11:$O$11,MATCH(C6&amp;$A$3,'[1]Gestion Investigación'!$M$5:$O$5&amp;'[1]Gestion Investigación'!$L$11,0))," ")</f>
        <v xml:space="preserve"> </v>
      </c>
      <c r="W6" s="420" t="str">
        <f>+IFERROR(INDEX('[1]Líneas Investigación'!$M$8:$O$8,MATCH(C6&amp;$A$3,'[1]Líneas Investigación'!$M$5:$O$5&amp;'[1]Líneas Investigación'!$L$8,0))," ")</f>
        <v xml:space="preserve"> </v>
      </c>
      <c r="X6" s="420" t="str">
        <f>+IFERROR(INDEX([1]Congresos!$M$8:$O$8,MATCH(C6&amp;$A$3,[1]Congresos!$M$5:$O$5&amp;[1]Congresos!$L$8,0))," ")</f>
        <v xml:space="preserve"> </v>
      </c>
      <c r="Y6" s="420" t="str">
        <f>+IFERROR(INDEX('[1]Alianzas Estratégicas'!$M$8:$O$8,MATCH(C6&amp;$A$3,'[1]Alianzas Estratégicas'!$M$5:$O$5&amp;'[1]Alianzas Estratégicas'!$L$8,0))," ")</f>
        <v xml:space="preserve"> </v>
      </c>
      <c r="Z6" s="286">
        <f t="shared" ref="Z6" si="0">+AVERAGE(D6:Y6)</f>
        <v>0.831125</v>
      </c>
    </row>
    <row r="7" spans="1:26" x14ac:dyDescent="0.25">
      <c r="C7" s="419" t="s">
        <v>239</v>
      </c>
      <c r="D7" s="286" t="str" cm="1">
        <f t="array" ref="D7">+IFERROR(INDEX('Programa Humanizacion'!$S$12:$V$12,MATCH(C7&amp;$A$3,'Programa Humanizacion'!$S$5:$V$5&amp;'Programa Humanizacion'!$L$12,0)),"")</f>
        <v/>
      </c>
      <c r="E7" s="286" t="str" cm="1">
        <f t="array" ref="E7">+IFERROR(INDEX('Modelo Atención'!$W$8:$AD$8,MATCH(C7&amp;$A$3,'Modelo Atención'!$W$5:$AD$5&amp;'Modelo Atención'!$L$8,0))," ")</f>
        <v xml:space="preserve"> </v>
      </c>
      <c r="F7" s="416"/>
      <c r="G7" s="286" t="str" cm="1">
        <f t="array" ref="G7">+IFERROR(INDEX('Seguridad Paciente'!$AA$11:$AL$11,MATCH(C7&amp;$A$3,'Seguridad Paciente'!$AA$5:$AL$5&amp;'Seguridad Paciente'!$L$11,0))," ")</f>
        <v xml:space="preserve"> </v>
      </c>
      <c r="H7" s="416"/>
      <c r="I7" s="420" t="str" cm="1">
        <f t="array" ref="I7">+IFERROR(INDEX(PEGIF!$W$29:$AF$29,MATCH(C7&amp;$A$3,PEGIF!$W$5:$AC$5&amp;PEGIF!$L$29,0))," ")</f>
        <v xml:space="preserve"> </v>
      </c>
      <c r="J7" s="420" t="str">
        <f>+IFERROR(INDEX([1]Costos!$M$12:$O$12,MATCH(C7&amp;$A$3,[1]Costos!$M$5:$O$5&amp;[1]Costos!$L$12,0))," ")</f>
        <v xml:space="preserve"> </v>
      </c>
      <c r="K7" s="420" t="str" cm="1">
        <f t="array" ref="K7">+IFERROR(INDEX('Prevención Daño Ant'!$Q$11:$Q$11,MATCH(C7&amp;$A$3,'Prevención Daño Ant'!$Q$5:$Q$5&amp;'Prevención Daño Ant'!$L$11,0))," ")</f>
        <v xml:space="preserve"> </v>
      </c>
      <c r="L7" s="416"/>
      <c r="M7" s="420" t="str">
        <f>+IFERROR(INDEX('[1]Integración SI'!$M$10:$P$10,MATCH(C7&amp;$A$3,'[1]Integración SI'!$M$5:$P$5&amp;'[1]Integración SI'!$L$10,0))," ")</f>
        <v xml:space="preserve"> </v>
      </c>
      <c r="N7" s="420" t="str">
        <f>+IFERROR(INDEX('[1]Construcción-Adecuación'!$M$12:$O$12,MATCH(C7&amp;$A$3,'[1]Construcción-Adecuación'!$M$5:$O$5&amp;'[1]Construcción-Adecuación'!$L$12,0))," ")</f>
        <v xml:space="preserve"> </v>
      </c>
      <c r="O7" s="420" t="str">
        <f>+IFERROR(INDEX('[1]Gestión Tecnología'!$M$10:$P$10,MATCH(C7&amp;$A$3,'[1]Gestión Tecnología'!$M$5:$P$5&amp;'[1]Gestión Tecnología'!$L$10,0))," ")</f>
        <v xml:space="preserve"> </v>
      </c>
      <c r="P7" s="420" t="str">
        <f>+IFERROR(INDEX([1]PEGITH!$M$16:$T$16,MATCH(C7&amp;$A$3,[1]PEGITH!$M$5:$T$5&amp;[1]PEGITH!$L$16,0))," ")</f>
        <v xml:space="preserve"> </v>
      </c>
      <c r="Q7" s="420" t="str">
        <f>+IFERROR(INDEX('[1]ISO 140012015'!$M$8:$O$8,MATCH(C7&amp;$A$3,'[1]ISO 140012015'!$M$5:$O$5&amp;'[1]ISO 140012015'!$L$8,0))," ")</f>
        <v xml:space="preserve"> </v>
      </c>
      <c r="R7" s="420" t="str">
        <f>+IFERROR(INDEX('[1]ISO 450012018'!$M$8:$O$8,MATCH(C7&amp;$A$3,'[1]ISO 450012018'!$M$5:$O$5&amp;'[1]ISO 450012018'!$L$8,0))," ")</f>
        <v xml:space="preserve"> </v>
      </c>
      <c r="S7" s="420" t="str">
        <f>+IFERROR(INDEX('[1]ISO 90012015'!$M$8:$O$8,MATCH(C7&amp;$A$3,'[1]ISO 90012015'!$M$5:$O$5&amp;'[1]ISO 90012015'!$L$8,0))," ")</f>
        <v xml:space="preserve"> </v>
      </c>
      <c r="T7" s="420" t="str">
        <f>+IFERROR(INDEX([1]BPE!$M$8:$O$8,MATCH(C7&amp;$A$3,[1]BPE!$M$5:$O$5&amp;[1]BPE!$L$8,0))," ")</f>
        <v xml:space="preserve"> </v>
      </c>
      <c r="U7" s="420" t="str">
        <f>+IFERROR(INDEX([1]BPM!$M$8:$O$8,MATCH(C7&amp;$A$3,[1]BPM!$M$5:$O$5&amp;[1]BPM!$L$8,0))," ")</f>
        <v xml:space="preserve"> </v>
      </c>
      <c r="V7" s="420" t="str">
        <f>+IFERROR(INDEX('[1]Gestion Investigación'!$M$11:$O$11,MATCH(C7&amp;$A$3,'[1]Gestion Investigación'!$M$5:$O$5&amp;'[1]Gestion Investigación'!$L$11,0))," ")</f>
        <v xml:space="preserve"> </v>
      </c>
      <c r="W7" s="420" t="str">
        <f>+IFERROR(INDEX('[1]Líneas Investigación'!$M$8:$O$8,MATCH(C7&amp;$A$3,'[1]Líneas Investigación'!$M$5:$O$5&amp;'[1]Líneas Investigación'!$L$8,0))," ")</f>
        <v xml:space="preserve"> </v>
      </c>
      <c r="X7" s="420" t="str">
        <f>+IFERROR(INDEX([1]Congresos!$M$8:$O$8,MATCH(C7&amp;$A$3,[1]Congresos!$M$5:$O$5&amp;[1]Congresos!$L$8,0))," ")</f>
        <v xml:space="preserve"> </v>
      </c>
      <c r="Y7" s="420" t="str">
        <f>+IFERROR(INDEX('[1]Alianzas Estratégicas'!$M$8:$O$8,MATCH(C7&amp;$A$3,'[1]Alianzas Estratégicas'!$M$5:$O$5&amp;'[1]Alianzas Estratégicas'!$L$8,0))," ")</f>
        <v xml:space="preserve"> </v>
      </c>
      <c r="Z7" s="286" t="e">
        <f>+AVERAGE(D7:Y7)</f>
        <v>#DIV/0!</v>
      </c>
    </row>
    <row r="8" spans="1:26" x14ac:dyDescent="0.25">
      <c r="C8" s="419" t="s">
        <v>283</v>
      </c>
      <c r="D8" s="286" t="str" cm="1">
        <f t="array" ref="D8">+IFERROR(INDEX('Programa Humanizacion'!$S$12:$V$12,MATCH(C8&amp;$A$3,'Programa Humanizacion'!$S$5:$V$5&amp;'Programa Humanizacion'!$L$12,0)),"")</f>
        <v/>
      </c>
      <c r="E8" s="286" t="str" cm="1">
        <f t="array" ref="E8">+IFERROR(INDEX('Modelo Atención'!$W$8:$AD$8,MATCH(C8&amp;$A$3,'Modelo Atención'!$W$5:$AD$5&amp;'Modelo Atención'!$L$8,0))," ")</f>
        <v xml:space="preserve"> </v>
      </c>
      <c r="F8" s="416"/>
      <c r="G8" s="286" t="str" cm="1">
        <f t="array" ref="G8">+IFERROR(INDEX('Seguridad Paciente'!$AA$11:$AL$11,MATCH(C8&amp;$A$3,'Seguridad Paciente'!$AA$5:$AL$5&amp;'Seguridad Paciente'!$L$11,0))," ")</f>
        <v xml:space="preserve"> </v>
      </c>
      <c r="H8" s="416"/>
      <c r="I8" s="420" t="str" cm="1">
        <f t="array" ref="I8">+IFERROR(INDEX(PEGIF!$W$29:$AF$29,MATCH(C8&amp;$A$3,PEGIF!$W$5:$AC$5&amp;PEGIF!$L$29,0))," ")</f>
        <v xml:space="preserve"> </v>
      </c>
      <c r="J8" s="420" t="str">
        <f>+IFERROR(INDEX([1]Costos!$M$12:$O$12,MATCH(C8&amp;$A$3,[1]Costos!$M$5:$O$5&amp;[1]Costos!$L$12,0))," ")</f>
        <v xml:space="preserve"> </v>
      </c>
      <c r="K8" s="420" t="str" cm="1">
        <f t="array" ref="K8">+IFERROR(INDEX('Prevención Daño Ant'!$Q$11:$Q$11,MATCH(C8&amp;$A$3,'Prevención Daño Ant'!$Q$5:$Q$5&amp;'Prevención Daño Ant'!$L$11,0))," ")</f>
        <v xml:space="preserve"> </v>
      </c>
      <c r="L8" s="416"/>
      <c r="M8" s="420" t="str">
        <f>+IFERROR(INDEX('[1]Integración SI'!$M$10:$P$10,MATCH(C8&amp;$A$3,'[1]Integración SI'!$M$5:$P$5&amp;'[1]Integración SI'!$L$10,0))," ")</f>
        <v xml:space="preserve"> </v>
      </c>
      <c r="N8" s="420" t="str">
        <f>+IFERROR(INDEX('[1]Construcción-Adecuación'!$M$12:$O$12,MATCH(C8&amp;$A$3,'[1]Construcción-Adecuación'!$M$5:$O$5&amp;'[1]Construcción-Adecuación'!$L$12,0))," ")</f>
        <v xml:space="preserve"> </v>
      </c>
      <c r="O8" s="420" t="str">
        <f>+IFERROR(INDEX('[1]Gestión Tecnología'!$M$10:$P$10,MATCH(C8&amp;$A$3,'[1]Gestión Tecnología'!$M$5:$P$5&amp;'[1]Gestión Tecnología'!$L$10,0))," ")</f>
        <v xml:space="preserve"> </v>
      </c>
      <c r="P8" s="420" t="str">
        <f>+IFERROR(INDEX([1]PEGITH!$M$16:$T$16,MATCH(C8&amp;$A$3,[1]PEGITH!$M$5:$T$5&amp;[1]PEGITH!$L$16,0))," ")</f>
        <v xml:space="preserve"> </v>
      </c>
      <c r="Q8" s="420" t="str">
        <f>+IFERROR(INDEX('[1]ISO 140012015'!$M$8:$O$8,MATCH(C8&amp;$A$3,'[1]ISO 140012015'!$M$5:$O$5&amp;'[1]ISO 140012015'!$L$8,0))," ")</f>
        <v xml:space="preserve"> </v>
      </c>
      <c r="R8" s="420" t="str">
        <f>+IFERROR(INDEX('[1]ISO 450012018'!$M$8:$O$8,MATCH(C8&amp;$A$3,'[1]ISO 450012018'!$M$5:$O$5&amp;'[1]ISO 450012018'!$L$8,0))," ")</f>
        <v xml:space="preserve"> </v>
      </c>
      <c r="S8" s="422">
        <f t="array" ref="S8">+INDEX('[1]ISO 90012015'!$M$8:$O$8,MATCH(C8&amp;$A$3,'[1]ISO 90012015'!$M$5:$O$5&amp;'[1]ISO 90012015'!$L$8,0))</f>
        <v>0.91</v>
      </c>
      <c r="T8" s="420" t="str">
        <f>+IFERROR(INDEX([1]BPE!$M$8:$O$8,MATCH(C8&amp;$A$3,[1]BPE!$M$5:$O$5&amp;[1]BPE!$L$8,0))," ")</f>
        <v xml:space="preserve"> </v>
      </c>
      <c r="U8" s="420" t="str">
        <f>+IFERROR(INDEX([1]BPM!$M$8:$O$8,MATCH(C8&amp;$A$3,[1]BPM!$M$5:$O$5&amp;[1]BPM!$L$8,0))," ")</f>
        <v xml:space="preserve"> </v>
      </c>
      <c r="V8" s="420" t="str">
        <f>+IFERROR(INDEX('[1]Gestion Investigación'!$M$11:$O$11,MATCH(C8&amp;$A$3,'[1]Gestion Investigación'!$M$5:$O$5&amp;'[1]Gestion Investigación'!$L$11,0))," ")</f>
        <v xml:space="preserve"> </v>
      </c>
      <c r="W8" s="420" t="str">
        <f>+IFERROR(INDEX('[1]Líneas Investigación'!$M$8:$O$8,MATCH(C8&amp;$A$3,'[1]Líneas Investigación'!$M$5:$O$5&amp;'[1]Líneas Investigación'!$L$8,0))," ")</f>
        <v xml:space="preserve"> </v>
      </c>
      <c r="X8" s="420" t="str">
        <f>+IFERROR(INDEX([1]Congresos!$M$8:$O$8,MATCH(C8&amp;$A$3,[1]Congresos!$M$5:$O$5&amp;[1]Congresos!$L$8,0))," ")</f>
        <v xml:space="preserve"> </v>
      </c>
      <c r="Y8" s="420" t="str">
        <f>+IFERROR(INDEX('[1]Alianzas Estratégicas'!$M$8:$O$8,MATCH(C8&amp;$A$3,'[1]Alianzas Estratégicas'!$M$5:$O$5&amp;'[1]Alianzas Estratégicas'!$L$8,0))," ")</f>
        <v xml:space="preserve"> </v>
      </c>
      <c r="Z8" s="286">
        <f t="shared" ref="Z8:Z11" si="1">+AVERAGE(D8:Y8)</f>
        <v>0.91</v>
      </c>
    </row>
    <row r="9" spans="1:26" x14ac:dyDescent="0.25">
      <c r="C9" s="419" t="s">
        <v>497</v>
      </c>
      <c r="D9" s="286" t="str" cm="1">
        <f t="array" ref="D9">+IFERROR(INDEX('Programa Humanizacion'!$S$12:$V$12,MATCH(C9&amp;$A$3,'Programa Humanizacion'!$S$5:$V$5&amp;'Programa Humanizacion'!$L$12,0)),"")</f>
        <v/>
      </c>
      <c r="E9" s="286" t="str" cm="1">
        <f t="array" ref="E9">+IFERROR(INDEX('Modelo Atención'!$W$8:$AD$8,MATCH(C9&amp;$A$3,'Modelo Atención'!$W$5:$AD$5&amp;'Modelo Atención'!$L$8,0))," ")</f>
        <v xml:space="preserve"> </v>
      </c>
      <c r="F9" s="416"/>
      <c r="G9" s="286" t="str" cm="1">
        <f t="array" ref="G9">+IFERROR(INDEX('Seguridad Paciente'!$AA$11:$AL$11,MATCH(C9&amp;$A$3,'Seguridad Paciente'!$AA$5:$AL$5&amp;'Seguridad Paciente'!$L$11,0))," ")</f>
        <v xml:space="preserve"> </v>
      </c>
      <c r="H9" s="416"/>
      <c r="I9" s="420" t="str" cm="1">
        <f t="array" ref="I9">+IFERROR(INDEX(PEGIF!$W$29:$AF$29,MATCH(C9&amp;$A$3,PEGIF!$W$5:$AC$5&amp;PEGIF!$L$29,0))," ")</f>
        <v xml:space="preserve"> </v>
      </c>
      <c r="J9" s="420" t="str">
        <f>+IFERROR(INDEX([1]Costos!$M$12:$O$12,MATCH(C9&amp;$A$3,[1]Costos!$M$5:$O$5&amp;[1]Costos!$L$12,0))," ")</f>
        <v xml:space="preserve"> </v>
      </c>
      <c r="K9" s="420" t="str" cm="1">
        <f t="array" ref="K9">+IFERROR(INDEX('Prevención Daño Ant'!$Q$11:$Q$11,MATCH(C9&amp;$A$3,'Prevención Daño Ant'!$Q$5:$Q$5&amp;'Prevención Daño Ant'!$L$11,0))," ")</f>
        <v xml:space="preserve"> </v>
      </c>
      <c r="L9" s="416"/>
      <c r="M9" s="420" t="str">
        <f>+IFERROR(INDEX('[1]Integración SI'!$M$10:$P$10,MATCH(C9&amp;$A$3,'[1]Integración SI'!$M$5:$P$5&amp;'[1]Integración SI'!$L$10,0))," ")</f>
        <v xml:space="preserve"> </v>
      </c>
      <c r="N9" s="420" t="str">
        <f>+IFERROR(INDEX('[1]Construcción-Adecuación'!$M$12:$O$12,MATCH(C9&amp;$A$3,'[1]Construcción-Adecuación'!$M$5:$O$5&amp;'[1]Construcción-Adecuación'!$L$12,0))," ")</f>
        <v xml:space="preserve"> </v>
      </c>
      <c r="O9" s="420" t="str">
        <f>+IFERROR(INDEX('[1]Gestión Tecnología'!$M$10:$P$10,MATCH(C9&amp;$A$3,'[1]Gestión Tecnología'!$M$5:$P$5&amp;'[1]Gestión Tecnología'!$L$10,0))," ")</f>
        <v xml:space="preserve"> </v>
      </c>
      <c r="P9" s="286">
        <f t="array" ref="P9">+INDEX([1]PEGITH!$M$16:$T$16,MATCH(C9&amp;$A$3,[1]PEGITH!$M$5:$T$5&amp;[1]PEGITH!$L$16,0))</f>
        <v>1</v>
      </c>
      <c r="Q9" s="420" t="str">
        <f>+IFERROR(INDEX('[1]ISO 140012015'!$M$8:$O$8,MATCH(C9&amp;$A$3,'[1]ISO 140012015'!$M$5:$O$5&amp;'[1]ISO 140012015'!$L$8,0))," ")</f>
        <v xml:space="preserve"> </v>
      </c>
      <c r="R9" s="422">
        <f t="array" ref="R9">+INDEX('[1]ISO 450012018'!$M$8:$O$8,MATCH(C9&amp;$A$3,'[1]ISO 450012018'!$M$5:$O$5&amp;'[1]ISO 450012018'!$L$8,0))</f>
        <v>0.91</v>
      </c>
      <c r="S9" s="420" t="str">
        <f>+IFERROR(INDEX('[1]ISO 90012015'!$M$8:$O$8,MATCH(C9&amp;$A$3,'[1]ISO 90012015'!$M$5:$O$5&amp;'[1]ISO 90012015'!$L$8,0))," ")</f>
        <v xml:space="preserve"> </v>
      </c>
      <c r="T9" s="420" t="str">
        <f>+IFERROR(INDEX([1]BPE!$M$8:$O$8,MATCH(C9&amp;$A$3,[1]BPE!$M$5:$O$5&amp;[1]BPE!$L$8,0))," ")</f>
        <v xml:space="preserve"> </v>
      </c>
      <c r="U9" s="420" t="str">
        <f>+IFERROR(INDEX([1]BPM!$M$8:$O$8,MATCH(C9&amp;$A$3,[1]BPM!$M$5:$O$5&amp;[1]BPM!$L$8,0))," ")</f>
        <v xml:space="preserve"> </v>
      </c>
      <c r="V9" s="420" t="str">
        <f>+IFERROR(INDEX('[1]Gestion Investigación'!$M$11:$O$11,MATCH(C9&amp;$A$3,'[1]Gestion Investigación'!$M$5:$O$5&amp;'[1]Gestion Investigación'!$L$11,0))," ")</f>
        <v xml:space="preserve"> </v>
      </c>
      <c r="W9" s="420" t="str">
        <f>+IFERROR(INDEX('[1]Líneas Investigación'!$M$8:$O$8,MATCH(C9&amp;$A$3,'[1]Líneas Investigación'!$M$5:$O$5&amp;'[1]Líneas Investigación'!$L$8,0))," ")</f>
        <v xml:space="preserve"> </v>
      </c>
      <c r="X9" s="420" t="str">
        <f>+IFERROR(INDEX([1]Congresos!$M$8:$O$8,MATCH(C9&amp;$A$3,[1]Congresos!$M$5:$O$5&amp;[1]Congresos!$L$8,0))," ")</f>
        <v xml:space="preserve"> </v>
      </c>
      <c r="Y9" s="420" t="str">
        <f>+IFERROR(INDEX('[1]Alianzas Estratégicas'!$M$8:$O$8,MATCH(C9&amp;$A$3,'[1]Alianzas Estratégicas'!$M$5:$O$5&amp;'[1]Alianzas Estratégicas'!$L$8,0))," ")</f>
        <v xml:space="preserve"> </v>
      </c>
      <c r="Z9" s="286">
        <f t="shared" si="1"/>
        <v>0.95500000000000007</v>
      </c>
    </row>
    <row r="10" spans="1:26" x14ac:dyDescent="0.25">
      <c r="C10" s="419" t="s">
        <v>765</v>
      </c>
      <c r="D10" s="286" t="str" cm="1">
        <f t="array" ref="D10">+IFERROR(INDEX('Programa Humanizacion'!$S$12:$V$12,MATCH(C10&amp;$A$3,'Programa Humanizacion'!$S$5:$V$5&amp;'Programa Humanizacion'!$L$12,0)),"")</f>
        <v/>
      </c>
      <c r="E10" s="286" t="str" cm="1">
        <f t="array" ref="E10">+IFERROR(INDEX('Modelo Atención'!$W$8:$AD$8,MATCH(C10&amp;$A$3,'Modelo Atención'!$W$5:$AD$5&amp;'Modelo Atención'!$L$8,0))," ")</f>
        <v xml:space="preserve"> </v>
      </c>
      <c r="F10" s="416"/>
      <c r="G10" s="286" t="str" cm="1">
        <f t="array" ref="G10">+IFERROR(INDEX('Seguridad Paciente'!$AA$11:$AL$11,MATCH(C10&amp;$A$3,'Seguridad Paciente'!$AA$5:$AL$5&amp;'Seguridad Paciente'!$L$11,0))," ")</f>
        <v xml:space="preserve"> </v>
      </c>
      <c r="H10" s="416"/>
      <c r="I10" s="420" t="str" cm="1">
        <f t="array" ref="I10">+IFERROR(INDEX(PEGIF!$W$29:$AF$29,MATCH(C10&amp;$A$3,PEGIF!$W$5:$AC$5&amp;PEGIF!$L$29,0))," ")</f>
        <v xml:space="preserve"> </v>
      </c>
      <c r="J10" s="420" t="str">
        <f>+IFERROR(INDEX([1]Costos!$M$12:$O$12,MATCH(C10&amp;$A$3,[1]Costos!$M$5:$O$5&amp;[1]Costos!$L$12,0))," ")</f>
        <v xml:space="preserve"> </v>
      </c>
      <c r="K10" s="420" t="str" cm="1">
        <f t="array" ref="K10">+IFERROR(INDEX('Prevención Daño Ant'!$Q$11:$Q$11,MATCH(C10&amp;$A$3,'Prevención Daño Ant'!$Q$5:$Q$5&amp;'Prevención Daño Ant'!$L$11,0))," ")</f>
        <v xml:space="preserve"> </v>
      </c>
      <c r="L10" s="416"/>
      <c r="M10" s="420" t="str">
        <f>+IFERROR(INDEX('[1]Integración SI'!$M$10:$P$10,MATCH(C10&amp;$A$3,'[1]Integración SI'!$M$5:$P$5&amp;'[1]Integración SI'!$L$10,0))," ")</f>
        <v xml:space="preserve"> </v>
      </c>
      <c r="N10" s="420" t="str">
        <f>+IFERROR(INDEX('[1]Construcción-Adecuación'!$M$12:$O$12,MATCH(C10&amp;$A$3,'[1]Construcción-Adecuación'!$M$5:$O$5&amp;'[1]Construcción-Adecuación'!$L$12,0))," ")</f>
        <v xml:space="preserve"> </v>
      </c>
      <c r="O10" s="420" t="str">
        <f>+IFERROR(INDEX('[1]Gestión Tecnología'!$M$10:$P$10,MATCH(C10&amp;$A$3,'[1]Gestión Tecnología'!$M$5:$P$5&amp;'[1]Gestión Tecnología'!$L$10,0))," ")</f>
        <v xml:space="preserve"> </v>
      </c>
      <c r="P10" s="286">
        <f t="array" ref="P10">+INDEX([1]PEGITH!$M$16:$T$16,MATCH(C10&amp;$A$3,[1]PEGITH!$M$5:$T$5&amp;[1]PEGITH!$L$16,0))</f>
        <v>1</v>
      </c>
      <c r="Q10" s="422">
        <f t="array" ref="Q10">+INDEX('[1]ISO 140012015'!$M$8:$O$8,MATCH(C10&amp;$A$3,'[1]ISO 140012015'!$M$5:$O$5&amp;'[1]ISO 140012015'!$L$8,0))</f>
        <v>0.94</v>
      </c>
      <c r="R10" s="420" t="str">
        <f>+IFERROR(INDEX('[1]ISO 450012018'!$M$8:$O$8,MATCH(C10&amp;$A$3,'[1]ISO 450012018'!$M$5:$O$5&amp;'[1]ISO 450012018'!$L$8,0))," ")</f>
        <v xml:space="preserve"> </v>
      </c>
      <c r="S10" s="420" t="str">
        <f>+IFERROR(INDEX('[1]ISO 90012015'!$M$8:$O$8,MATCH(C10&amp;$A$3,'[1]ISO 90012015'!$M$5:$O$5&amp;'[1]ISO 90012015'!$L$8,0))," ")</f>
        <v xml:space="preserve"> </v>
      </c>
      <c r="T10" s="420" t="str">
        <f>+IFERROR(INDEX([1]BPE!$M$8:$O$8,MATCH(C10&amp;$A$3,[1]BPE!$M$5:$O$5&amp;[1]BPE!$L$8,0))," ")</f>
        <v xml:space="preserve"> </v>
      </c>
      <c r="U10" s="420" t="str">
        <f>+IFERROR(INDEX([1]BPM!$M$8:$O$8,MATCH(C10&amp;$A$3,[1]BPM!$M$5:$O$5&amp;[1]BPM!$L$8,0))," ")</f>
        <v xml:space="preserve"> </v>
      </c>
      <c r="V10" s="420" t="str">
        <f>+IFERROR(INDEX('[1]Gestion Investigación'!$M$11:$O$11,MATCH(C10&amp;$A$3,'[1]Gestion Investigación'!$M$5:$O$5&amp;'[1]Gestion Investigación'!$L$11,0))," ")</f>
        <v xml:space="preserve"> </v>
      </c>
      <c r="W10" s="420" t="str">
        <f>+IFERROR(INDEX('[1]Líneas Investigación'!$M$8:$O$8,MATCH(C10&amp;$A$3,'[1]Líneas Investigación'!$M$5:$O$5&amp;'[1]Líneas Investigación'!$L$8,0))," ")</f>
        <v xml:space="preserve"> </v>
      </c>
      <c r="X10" s="420" t="str">
        <f>+IFERROR(INDEX([1]Congresos!$M$8:$O$8,MATCH(C10&amp;$A$3,[1]Congresos!$M$5:$O$5&amp;[1]Congresos!$L$8,0))," ")</f>
        <v xml:space="preserve"> </v>
      </c>
      <c r="Y10" s="420" t="str">
        <f>+IFERROR(INDEX('[1]Alianzas Estratégicas'!$M$8:$O$8,MATCH(C10&amp;$A$3,'[1]Alianzas Estratégicas'!$M$5:$O$5&amp;'[1]Alianzas Estratégicas'!$L$8,0))," ")</f>
        <v xml:space="preserve"> </v>
      </c>
      <c r="Z10" s="286">
        <f t="shared" si="1"/>
        <v>0.97</v>
      </c>
    </row>
    <row r="11" spans="1:26" x14ac:dyDescent="0.25">
      <c r="C11" s="419" t="s">
        <v>759</v>
      </c>
      <c r="D11" s="286" t="str" cm="1">
        <f t="array" ref="D11">+IFERROR(INDEX('Programa Humanizacion'!$S$12:$V$12,MATCH(C11&amp;$A$3,'Programa Humanizacion'!$S$5:$V$5&amp;'Programa Humanizacion'!$L$12,0)),"")</f>
        <v/>
      </c>
      <c r="E11" s="286" t="str" cm="1">
        <f t="array" ref="E11">+IFERROR(INDEX('Modelo Atención'!$W$8:$AD$8,MATCH(C11&amp;$A$3,'Modelo Atención'!$W$5:$AD$5&amp;'Modelo Atención'!$L$8,0))," ")</f>
        <v xml:space="preserve"> </v>
      </c>
      <c r="F11" s="416"/>
      <c r="G11" s="286" t="str" cm="1">
        <f t="array" ref="G11">+IFERROR(INDEX('Seguridad Paciente'!$AA$11:$AL$11,MATCH(C11&amp;$A$3,'Seguridad Paciente'!$AA$5:$AL$5&amp;'Seguridad Paciente'!$L$11,0))," ")</f>
        <v>-</v>
      </c>
      <c r="H11" s="416"/>
      <c r="I11" s="420" t="str" cm="1">
        <f t="array" ref="I11">+IFERROR(INDEX(PEGIF!$W$29:$AF$29,MATCH(C11&amp;$A$3,PEGIF!$W$5:$AC$5&amp;PEGIF!$L$29,0))," ")</f>
        <v xml:space="preserve"> </v>
      </c>
      <c r="J11" s="420" t="str">
        <f>+IFERROR(INDEX([1]Costos!$M$12:$O$12,MATCH(C11&amp;$A$3,[1]Costos!$M$5:$O$5&amp;[1]Costos!$L$12,0))," ")</f>
        <v xml:space="preserve"> </v>
      </c>
      <c r="K11" s="420" t="str" cm="1">
        <f t="array" ref="K11">+IFERROR(INDEX('Prevención Daño Ant'!$Q$11:$Q$11,MATCH(C11&amp;$A$3,'Prevención Daño Ant'!$Q$5:$Q$5&amp;'Prevención Daño Ant'!$L$11,0))," ")</f>
        <v xml:space="preserve"> </v>
      </c>
      <c r="L11" s="416"/>
      <c r="M11" s="420" t="str">
        <f>+IFERROR(INDEX('[1]Integración SI'!$M$10:$P$10,MATCH(C11&amp;$A$3,'[1]Integración SI'!$M$5:$P$5&amp;'[1]Integración SI'!$L$10,0))," ")</f>
        <v xml:space="preserve"> </v>
      </c>
      <c r="N11" s="420" t="str">
        <f>+IFERROR(INDEX('[1]Construcción-Adecuación'!$M$12:$O$12,MATCH(C11&amp;$A$3,'[1]Construcción-Adecuación'!$M$5:$O$5&amp;'[1]Construcción-Adecuación'!$L$12,0))," ")</f>
        <v xml:space="preserve"> </v>
      </c>
      <c r="O11" s="420" t="str">
        <f>+IFERROR(INDEX('[1]Gestión Tecnología'!$M$10:$P$10,MATCH(C11&amp;$A$3,'[1]Gestión Tecnología'!$M$5:$P$5&amp;'[1]Gestión Tecnología'!$L$10,0))," ")</f>
        <v xml:space="preserve"> </v>
      </c>
      <c r="P11" s="420" t="str">
        <f>+IFERROR(INDEX([1]PEGITH!$M$16:$T$16,MATCH(C11&amp;$A$3,[1]PEGITH!$M$5:$T$5&amp;[1]PEGITH!$L$16,0))," ")</f>
        <v xml:space="preserve"> </v>
      </c>
      <c r="Q11" s="420" t="str">
        <f>+IFERROR(INDEX('[1]ISO 140012015'!$M$8:$O$8,MATCH(C11&amp;$A$3,'[1]ISO 140012015'!$M$5:$O$5&amp;'[1]ISO 140012015'!$L$8,0))," ")</f>
        <v xml:space="preserve"> </v>
      </c>
      <c r="R11" s="420" t="str">
        <f>+IFERROR(INDEX('[1]ISO 450012018'!$M$8:$O$8,MATCH(C11&amp;$A$3,'[1]ISO 450012018'!$M$5:$O$5&amp;'[1]ISO 450012018'!$L$8,0))," ")</f>
        <v xml:space="preserve"> </v>
      </c>
      <c r="S11" s="420" t="str">
        <f>+IFERROR(INDEX('[1]ISO 90012015'!$M$8:$O$8,MATCH(C11&amp;$A$3,'[1]ISO 90012015'!$M$5:$O$5&amp;'[1]ISO 90012015'!$L$8,0))," ")</f>
        <v xml:space="preserve"> </v>
      </c>
      <c r="T11" s="420" t="str">
        <f>+IFERROR(INDEX([1]BPE!$M$8:$O$8,MATCH(C11&amp;$A$3,[1]BPE!$M$5:$O$5&amp;[1]BPE!$L$8,0))," ")</f>
        <v xml:space="preserve"> </v>
      </c>
      <c r="U11" s="420" t="str">
        <f>+IFERROR(INDEX([1]BPM!$M$8:$O$8,MATCH(C11&amp;$A$3,[1]BPM!$M$5:$O$5&amp;[1]BPM!$L$8,0))," ")</f>
        <v xml:space="preserve"> </v>
      </c>
      <c r="V11" s="420" t="str">
        <f>+IFERROR(INDEX('[1]Gestion Investigación'!$M$11:$O$11,MATCH(C11&amp;$A$3,'[1]Gestion Investigación'!$M$5:$O$5&amp;'[1]Gestion Investigación'!$L$11,0))," ")</f>
        <v xml:space="preserve"> </v>
      </c>
      <c r="W11" s="420" t="str">
        <f>+IFERROR(INDEX('[1]Líneas Investigación'!$M$8:$O$8,MATCH(C11&amp;$A$3,'[1]Líneas Investigación'!$M$5:$O$5&amp;'[1]Líneas Investigación'!$L$8,0))," ")</f>
        <v xml:space="preserve"> </v>
      </c>
      <c r="X11" s="420" t="str">
        <f>+IFERROR(INDEX([1]Congresos!$M$8:$O$8,MATCH(C11&amp;$A$3,[1]Congresos!$M$5:$O$5&amp;[1]Congresos!$L$8,0))," ")</f>
        <v xml:space="preserve"> </v>
      </c>
      <c r="Y11" s="420" t="str">
        <f>+IFERROR(INDEX('[1]Alianzas Estratégicas'!$M$8:$O$8,MATCH(C11&amp;$A$3,'[1]Alianzas Estratégicas'!$M$5:$O$5&amp;'[1]Alianzas Estratégicas'!$L$8,0))," ")</f>
        <v xml:space="preserve"> </v>
      </c>
      <c r="Z11" s="286" t="e">
        <f t="shared" si="1"/>
        <v>#DIV/0!</v>
      </c>
    </row>
    <row r="12" spans="1:26" x14ac:dyDescent="0.25">
      <c r="C12" s="419" t="s">
        <v>232</v>
      </c>
      <c r="D12" s="286" t="str" cm="1">
        <f t="array" ref="D12">+IFERROR(INDEX('Programa Humanizacion'!$S$12:$V$12,MATCH(C12&amp;$A$3,'Programa Humanizacion'!$S$5:$V$5&amp;'Programa Humanizacion'!$L$12,0)),"")</f>
        <v/>
      </c>
      <c r="E12" s="286" t="str" cm="1">
        <f t="array" ref="E12">+IFERROR(INDEX('Modelo Atención'!$W$8:$AD$8,MATCH(C12&amp;$A$3,'Modelo Atención'!$W$5:$AD$5&amp;'Modelo Atención'!$L$8,0))," ")</f>
        <v>-</v>
      </c>
      <c r="F12" s="416"/>
      <c r="G12" s="286" t="str" cm="1">
        <f t="array" ref="G12">+IFERROR(INDEX('Seguridad Paciente'!$AA$11:$AL$11,MATCH(C12&amp;$A$3,'Seguridad Paciente'!$AA$5:$AL$5&amp;'Seguridad Paciente'!$L$11,0))," ")</f>
        <v>-</v>
      </c>
      <c r="H12" s="416"/>
      <c r="I12" s="420" t="str" cm="1">
        <f t="array" ref="I12">+IFERROR(INDEX(PEGIF!$W$29:$AF$29,MATCH(C12&amp;$A$3,PEGIF!$W$5:$AC$5&amp;PEGIF!$L$29,0))," ")</f>
        <v xml:space="preserve"> </v>
      </c>
      <c r="J12" s="420" t="str">
        <f>+IFERROR(INDEX([1]Costos!$M$12:$O$12,MATCH(C12&amp;$A$3,[1]Costos!$M$5:$O$5&amp;[1]Costos!$L$12,0))," ")</f>
        <v xml:space="preserve"> </v>
      </c>
      <c r="K12" s="420" t="str" cm="1">
        <f t="array" ref="K12">+IFERROR(INDEX('Prevención Daño Ant'!$Q$11:$Q$11,MATCH(C12&amp;$A$3,'Prevención Daño Ant'!$Q$5:$Q$5&amp;'Prevención Daño Ant'!$L$11,0))," ")</f>
        <v xml:space="preserve"> </v>
      </c>
      <c r="L12" s="416"/>
      <c r="M12" s="420" t="str">
        <f>+IFERROR(INDEX('[1]Integración SI'!$M$10:$P$10,MATCH(C12&amp;$A$3,'[1]Integración SI'!$M$5:$P$5&amp;'[1]Integración SI'!$L$10,0))," ")</f>
        <v xml:space="preserve"> </v>
      </c>
      <c r="N12" s="420" t="str">
        <f>+IFERROR(INDEX('[1]Construcción-Adecuación'!$M$12:$O$12,MATCH(C12&amp;$A$3,'[1]Construcción-Adecuación'!$M$5:$O$5&amp;'[1]Construcción-Adecuación'!$L$12,0))," ")</f>
        <v xml:space="preserve"> </v>
      </c>
      <c r="O12" s="420" t="str">
        <f>+IFERROR(INDEX('[1]Gestión Tecnología'!$M$10:$P$10,MATCH(C12&amp;$A$3,'[1]Gestión Tecnología'!$M$5:$P$5&amp;'[1]Gestión Tecnología'!$L$10,0))," ")</f>
        <v xml:space="preserve"> </v>
      </c>
      <c r="P12" s="420" t="str">
        <f>+IFERROR(INDEX([1]PEGITH!$M$16:$T$16,MATCH(C12&amp;$A$3,[1]PEGITH!$M$5:$T$5&amp;[1]PEGITH!$L$16,0))," ")</f>
        <v xml:space="preserve"> </v>
      </c>
      <c r="Q12" s="420" t="str">
        <f>+IFERROR(INDEX('[1]ISO 140012015'!$M$8:$O$8,MATCH(C12&amp;$A$3,'[1]ISO 140012015'!$M$5:$O$5&amp;'[1]ISO 140012015'!$L$8,0))," ")</f>
        <v xml:space="preserve"> </v>
      </c>
      <c r="R12" s="420" t="str">
        <f>+IFERROR(INDEX('[1]ISO 450012018'!$M$8:$O$8,MATCH(C12&amp;$A$3,'[1]ISO 450012018'!$M$5:$O$5&amp;'[1]ISO 450012018'!$L$8,0))," ")</f>
        <v xml:space="preserve"> </v>
      </c>
      <c r="S12" s="420" t="str">
        <f>+IFERROR(INDEX('[1]ISO 90012015'!$M$8:$O$8,MATCH(C12&amp;$A$3,'[1]ISO 90012015'!$M$5:$O$5&amp;'[1]ISO 90012015'!$L$8,0))," ")</f>
        <v xml:space="preserve"> </v>
      </c>
      <c r="T12" s="420" t="str">
        <f>+IFERROR(INDEX([1]BPE!$M$8:$O$8,MATCH(C12&amp;$A$3,[1]BPE!$M$5:$O$5&amp;[1]BPE!$L$8,0))," ")</f>
        <v xml:space="preserve"> </v>
      </c>
      <c r="U12" s="420" t="str">
        <f>+IFERROR(INDEX([1]BPM!$M$8:$O$8,MATCH(C12&amp;$A$3,[1]BPM!$M$5:$O$5&amp;[1]BPM!$L$8,0))," ")</f>
        <v xml:space="preserve"> </v>
      </c>
      <c r="V12" s="420" t="str">
        <f>+IFERROR(INDEX('[1]Gestion Investigación'!$M$11:$O$11,MATCH(C12&amp;$A$3,'[1]Gestion Investigación'!$M$5:$O$5&amp;'[1]Gestion Investigación'!$L$11,0))," ")</f>
        <v xml:space="preserve"> </v>
      </c>
      <c r="W12" s="420" t="str">
        <f>+IFERROR(INDEX('[1]Líneas Investigación'!$M$8:$O$8,MATCH(C12&amp;$A$3,'[1]Líneas Investigación'!$M$5:$O$5&amp;'[1]Líneas Investigación'!$L$8,0))," ")</f>
        <v xml:space="preserve"> </v>
      </c>
      <c r="X12" s="420" t="str">
        <f>+IFERROR(INDEX([1]Congresos!$M$8:$O$8,MATCH(C12&amp;$A$3,[1]Congresos!$M$5:$O$5&amp;[1]Congresos!$L$8,0))," ")</f>
        <v xml:space="preserve"> </v>
      </c>
      <c r="Y12" s="420" t="str">
        <f>+IFERROR(INDEX('[1]Alianzas Estratégicas'!$M$8:$O$8,MATCH(C12&amp;$A$3,'[1]Alianzas Estratégicas'!$M$5:$O$5&amp;'[1]Alianzas Estratégicas'!$L$8,0))," ")</f>
        <v xml:space="preserve"> </v>
      </c>
      <c r="Z12" s="286" t="e">
        <f>+AVERAGE(D12:Y12)</f>
        <v>#DIV/0!</v>
      </c>
    </row>
    <row r="13" spans="1:26" x14ac:dyDescent="0.25">
      <c r="C13" s="419" t="s">
        <v>242</v>
      </c>
      <c r="D13" s="286" t="str" cm="1">
        <f t="array" ref="D13">+IFERROR(INDEX('Programa Humanizacion'!$S$12:$V$12,MATCH(C13&amp;$A$3,'Programa Humanizacion'!$S$5:$V$5&amp;'Programa Humanizacion'!$L$12,0)),"")</f>
        <v/>
      </c>
      <c r="E13" s="286" t="str" cm="1">
        <f t="array" ref="E13">+IFERROR(INDEX('Modelo Atención'!$W$8:$AD$8,MATCH(C13&amp;$A$3,'Modelo Atención'!$W$5:$AD$5&amp;'Modelo Atención'!$L$8,0))," ")</f>
        <v xml:space="preserve"> </v>
      </c>
      <c r="F13" s="416"/>
      <c r="G13" s="286" t="str" cm="1">
        <f t="array" ref="G13">+IFERROR(INDEX('Seguridad Paciente'!$AA$11:$AL$11,MATCH(C13&amp;$A$3,'Seguridad Paciente'!$AA$5:$AL$5&amp;'Seguridad Paciente'!$L$11,0))," ")</f>
        <v>-</v>
      </c>
      <c r="H13" s="416"/>
      <c r="I13" s="420" t="str" cm="1">
        <f t="array" ref="I13">+IFERROR(INDEX(PEGIF!$W$29:$AF$29,MATCH(C13&amp;$A$3,PEGIF!$W$5:$AC$5&amp;PEGIF!$L$29,0))," ")</f>
        <v xml:space="preserve"> </v>
      </c>
      <c r="J13" s="420" t="str">
        <f>+IFERROR(INDEX([1]Costos!$M$12:$O$12,MATCH(C13&amp;$A$3,[1]Costos!$M$5:$O$5&amp;[1]Costos!$L$12,0))," ")</f>
        <v xml:space="preserve"> </v>
      </c>
      <c r="K13" s="420" t="str" cm="1">
        <f t="array" ref="K13">+IFERROR(INDEX('Prevención Daño Ant'!$Q$11:$Q$11,MATCH(C13&amp;$A$3,'Prevención Daño Ant'!$Q$5:$Q$5&amp;'Prevención Daño Ant'!$L$11,0))," ")</f>
        <v xml:space="preserve"> </v>
      </c>
      <c r="L13" s="416"/>
      <c r="M13" s="420" t="str">
        <f>+IFERROR(INDEX('[1]Integración SI'!$M$10:$P$10,MATCH(C13&amp;$A$3,'[1]Integración SI'!$M$5:$P$5&amp;'[1]Integración SI'!$L$10,0))," ")</f>
        <v xml:space="preserve"> </v>
      </c>
      <c r="N13" s="420" t="str">
        <f>+IFERROR(INDEX('[1]Construcción-Adecuación'!$M$12:$O$12,MATCH(C13&amp;$A$3,'[1]Construcción-Adecuación'!$M$5:$O$5&amp;'[1]Construcción-Adecuación'!$L$12,0))," ")</f>
        <v xml:space="preserve"> </v>
      </c>
      <c r="O13" s="420" t="str">
        <f>+IFERROR(INDEX('[1]Gestión Tecnología'!$M$10:$P$10,MATCH(C13&amp;$A$3,'[1]Gestión Tecnología'!$M$5:$P$5&amp;'[1]Gestión Tecnología'!$L$10,0))," ")</f>
        <v xml:space="preserve"> </v>
      </c>
      <c r="P13" s="286">
        <f t="array" ref="P13">+INDEX([1]PEGITH!$M$16:$T$16,MATCH(C13&amp;$A$3,[1]PEGITH!$M$5:$T$5&amp;[1]PEGITH!$L$16,0))</f>
        <v>1</v>
      </c>
      <c r="Q13" s="420" t="str">
        <f>+IFERROR(INDEX('[1]ISO 140012015'!$M$8:$O$8,MATCH(C13&amp;$A$3,'[1]ISO 140012015'!$M$5:$O$5&amp;'[1]ISO 140012015'!$L$8,0))," ")</f>
        <v xml:space="preserve"> </v>
      </c>
      <c r="R13" s="420" t="str">
        <f>+IFERROR(INDEX('[1]ISO 450012018'!$M$8:$O$8,MATCH(C13&amp;$A$3,'[1]ISO 450012018'!$M$5:$O$5&amp;'[1]ISO 450012018'!$L$8,0))," ")</f>
        <v xml:space="preserve"> </v>
      </c>
      <c r="S13" s="420" t="str">
        <f>+IFERROR(INDEX('[1]ISO 90012015'!$M$8:$O$8,MATCH(C13&amp;$A$3,'[1]ISO 90012015'!$M$5:$O$5&amp;'[1]ISO 90012015'!$L$8,0))," ")</f>
        <v xml:space="preserve"> </v>
      </c>
      <c r="T13" s="420" t="str">
        <f>+IFERROR(INDEX([1]BPE!$M$8:$O$8,MATCH(C13&amp;$A$3,[1]BPE!$M$5:$O$5&amp;[1]BPE!$L$8,0))," ")</f>
        <v xml:space="preserve"> </v>
      </c>
      <c r="U13" s="420" t="str">
        <f>+IFERROR(INDEX([1]BPM!$M$8:$O$8,MATCH(C13&amp;$A$3,[1]BPM!$M$5:$O$5&amp;[1]BPM!$L$8,0))," ")</f>
        <v xml:space="preserve"> </v>
      </c>
      <c r="V13" s="420" t="str">
        <f>+IFERROR(INDEX('[1]Gestion Investigación'!$M$11:$O$11,MATCH(C13&amp;$A$3,'[1]Gestion Investigación'!$M$5:$O$5&amp;'[1]Gestion Investigación'!$L$11,0))," ")</f>
        <v xml:space="preserve"> </v>
      </c>
      <c r="W13" s="420" t="str">
        <f>+IFERROR(INDEX('[1]Líneas Investigación'!$M$8:$O$8,MATCH(C13&amp;$A$3,'[1]Líneas Investigación'!$M$5:$O$5&amp;'[1]Líneas Investigación'!$L$8,0))," ")</f>
        <v xml:space="preserve"> </v>
      </c>
      <c r="X13" s="420" t="str">
        <f>+IFERROR(INDEX([1]Congresos!$M$8:$O$8,MATCH(C13&amp;$A$3,[1]Congresos!$M$5:$O$5&amp;[1]Congresos!$L$8,0))," ")</f>
        <v xml:space="preserve"> </v>
      </c>
      <c r="Y13" s="420" t="str">
        <f>+IFERROR(INDEX('[1]Alianzas Estratégicas'!$M$8:$O$8,MATCH(C13&amp;$A$3,'[1]Alianzas Estratégicas'!$M$5:$O$5&amp;'[1]Alianzas Estratégicas'!$L$8,0))," ")</f>
        <v xml:space="preserve"> </v>
      </c>
      <c r="Z13" s="286">
        <f t="shared" ref="Z13:Z15" si="2">+AVERAGE(D13:Y13)</f>
        <v>1</v>
      </c>
    </row>
    <row r="14" spans="1:26" x14ac:dyDescent="0.25">
      <c r="C14" s="419" t="s">
        <v>243</v>
      </c>
      <c r="D14" s="286" t="str" cm="1">
        <f t="array" ref="D14">+IFERROR(INDEX('Programa Humanizacion'!$S$12:$V$12,MATCH(C14&amp;$A$3,'Programa Humanizacion'!$S$5:$V$5&amp;'Programa Humanizacion'!$L$12,0)),"")</f>
        <v/>
      </c>
      <c r="E14" s="286" t="str" cm="1">
        <f t="array" ref="E14">+IFERROR(INDEX('Modelo Atención'!$W$8:$AD$8,MATCH(C14&amp;$A$3,'Modelo Atención'!$W$5:$AD$5&amp;'Modelo Atención'!$L$8,0))," ")</f>
        <v xml:space="preserve"> </v>
      </c>
      <c r="F14" s="416"/>
      <c r="G14" s="286" t="str" cm="1">
        <f t="array" ref="G14">+IFERROR(INDEX('Seguridad Paciente'!$AA$11:$AL$11,MATCH(C14&amp;$A$3,'Seguridad Paciente'!$AA$5:$AL$5&amp;'Seguridad Paciente'!$L$11,0))," ")</f>
        <v xml:space="preserve"> </v>
      </c>
      <c r="H14" s="416"/>
      <c r="I14" s="420" t="str" cm="1">
        <f t="array" ref="I14">+IFERROR(INDEX(PEGIF!$W$29:$AF$29,MATCH(C14&amp;$A$3,PEGIF!$W$5:$AC$5&amp;PEGIF!$L$29,0))," ")</f>
        <v xml:space="preserve"> </v>
      </c>
      <c r="J14" s="420" t="str">
        <f>+IFERROR(INDEX([1]Costos!$M$12:$O$12,MATCH(C14&amp;$A$3,[1]Costos!$M$5:$O$5&amp;[1]Costos!$L$12,0))," ")</f>
        <v xml:space="preserve"> </v>
      </c>
      <c r="K14" s="420" t="str" cm="1">
        <f t="array" ref="K14">+IFERROR(INDEX('Prevención Daño Ant'!$Q$11:$Q$11,MATCH(C14&amp;$A$3,'Prevención Daño Ant'!$Q$5:$Q$5&amp;'Prevención Daño Ant'!$L$11,0))," ")</f>
        <v xml:space="preserve"> </v>
      </c>
      <c r="L14" s="416"/>
      <c r="M14" s="420" t="str">
        <f>+IFERROR(INDEX('[1]Integración SI'!$M$10:$P$10,MATCH(C14&amp;$A$3,'[1]Integración SI'!$M$5:$P$5&amp;'[1]Integración SI'!$L$10,0))," ")</f>
        <v xml:space="preserve"> </v>
      </c>
      <c r="N14" s="420" t="str">
        <f>+IFERROR(INDEX('[1]Construcción-Adecuación'!$M$12:$O$12,MATCH(C14&amp;$A$3,'[1]Construcción-Adecuación'!$M$5:$O$5&amp;'[1]Construcción-Adecuación'!$L$12,0))," ")</f>
        <v xml:space="preserve"> </v>
      </c>
      <c r="O14" s="420" t="str">
        <f>+IFERROR(INDEX('[1]Gestión Tecnología'!$M$10:$P$10,MATCH(C14&amp;$A$3,'[1]Gestión Tecnología'!$M$5:$P$5&amp;'[1]Gestión Tecnología'!$L$10,0))," ")</f>
        <v xml:space="preserve"> </v>
      </c>
      <c r="P14" s="286">
        <f t="array" ref="P14">+INDEX([1]PEGITH!$M$16:$T$16,MATCH(C14&amp;$A$3,[1]PEGITH!$M$5:$T$5&amp;[1]PEGITH!$L$16,0))</f>
        <v>1</v>
      </c>
      <c r="Q14" s="420" t="str">
        <f>+IFERROR(INDEX('[1]ISO 140012015'!$M$8:$O$8,MATCH(C14&amp;$A$3,'[1]ISO 140012015'!$M$5:$O$5&amp;'[1]ISO 140012015'!$L$8,0))," ")</f>
        <v xml:space="preserve"> </v>
      </c>
      <c r="R14" s="420" t="str">
        <f>+IFERROR(INDEX('[1]ISO 450012018'!$M$8:$O$8,MATCH(C14&amp;$A$3,'[1]ISO 450012018'!$M$5:$O$5&amp;'[1]ISO 450012018'!$L$8,0))," ")</f>
        <v xml:space="preserve"> </v>
      </c>
      <c r="S14" s="420" t="str">
        <f>+IFERROR(INDEX('[1]ISO 90012015'!$M$8:$O$8,MATCH(C14&amp;$A$3,'[1]ISO 90012015'!$M$5:$O$5&amp;'[1]ISO 90012015'!$L$8,0))," ")</f>
        <v xml:space="preserve"> </v>
      </c>
      <c r="T14" s="420">
        <f t="array" ref="T14">+INDEX([1]BPE!$M$8:$O$8,MATCH(C14&amp;$A$3,[1]BPE!$M$5:$O$5&amp;[1]BPE!$L$8,0))</f>
        <v>0</v>
      </c>
      <c r="U14" s="420">
        <f t="array" ref="U14">+INDEX([1]BPM!$M$8:$O$8,MATCH(C14&amp;$A$3,[1]BPM!$M$5:$O$5&amp;[1]BPM!$L$8,0))</f>
        <v>0</v>
      </c>
      <c r="V14" s="420" t="str">
        <f>+IFERROR(INDEX('[1]Gestion Investigación'!$M$11:$O$11,MATCH(C14&amp;$A$3,'[1]Gestion Investigación'!$M$5:$O$5&amp;'[1]Gestion Investigación'!$L$11,0))," ")</f>
        <v xml:space="preserve"> </v>
      </c>
      <c r="W14" s="420" t="str">
        <f>+IFERROR(INDEX('[1]Líneas Investigación'!$M$8:$O$8,MATCH(C14&amp;$A$3,'[1]Líneas Investigación'!$M$5:$O$5&amp;'[1]Líneas Investigación'!$L$8,0))," ")</f>
        <v xml:space="preserve"> </v>
      </c>
      <c r="X14" s="420" t="str">
        <f>+IFERROR(INDEX([1]Congresos!$M$8:$O$8,MATCH(C14&amp;$A$3,[1]Congresos!$M$5:$O$5&amp;[1]Congresos!$L$8,0))," ")</f>
        <v xml:space="preserve"> </v>
      </c>
      <c r="Y14" s="420" t="str">
        <f>+IFERROR(INDEX('[1]Alianzas Estratégicas'!$M$8:$O$8,MATCH(C14&amp;$A$3,'[1]Alianzas Estratégicas'!$M$5:$O$5&amp;'[1]Alianzas Estratégicas'!$L$8,0))," ")</f>
        <v xml:space="preserve"> </v>
      </c>
      <c r="Z14" s="286">
        <f t="shared" si="2"/>
        <v>0.33333333333333331</v>
      </c>
    </row>
    <row r="15" spans="1:26" x14ac:dyDescent="0.25">
      <c r="C15" s="419" t="s">
        <v>244</v>
      </c>
      <c r="D15" s="286" t="str" cm="1">
        <f t="array" ref="D15">+IFERROR(INDEX('Programa Humanizacion'!$S$12:$V$12,MATCH(C15&amp;$A$3,'Programa Humanizacion'!$S$5:$V$5&amp;'Programa Humanizacion'!$L$12,0)),"")</f>
        <v/>
      </c>
      <c r="E15" s="286" t="str" cm="1">
        <f t="array" ref="E15">+IFERROR(INDEX('Modelo Atención'!$W$8:$AD$8,MATCH(C15&amp;$A$3,'Modelo Atención'!$W$5:$AD$5&amp;'Modelo Atención'!$L$8,0))," ")</f>
        <v xml:space="preserve"> </v>
      </c>
      <c r="F15" s="416"/>
      <c r="G15" s="286" t="str" cm="1">
        <f t="array" ref="G15">+IFERROR(INDEX('Seguridad Paciente'!$AA$11:$AL$11,MATCH(C15&amp;$A$3,'Seguridad Paciente'!$AA$5:$AL$5&amp;'Seguridad Paciente'!$L$11,0))," ")</f>
        <v xml:space="preserve"> </v>
      </c>
      <c r="H15" s="416"/>
      <c r="I15" s="420" t="str" cm="1">
        <f t="array" ref="I15">+IFERROR(INDEX(PEGIF!$W$29:$AF$29,MATCH(C15&amp;$A$3,PEGIF!$W$5:$AC$5&amp;PEGIF!$L$29,0))," ")</f>
        <v xml:space="preserve"> </v>
      </c>
      <c r="J15" s="420" t="str">
        <f>+IFERROR(INDEX([1]Costos!$M$12:$O$12,MATCH(C15&amp;$A$3,[1]Costos!$M$5:$O$5&amp;[1]Costos!$L$12,0))," ")</f>
        <v xml:space="preserve"> </v>
      </c>
      <c r="K15" s="420" t="str" cm="1">
        <f t="array" ref="K15">+IFERROR(INDEX('Prevención Daño Ant'!$Q$11:$Q$11,MATCH(C15&amp;$A$3,'Prevención Daño Ant'!$Q$5:$Q$5&amp;'Prevención Daño Ant'!$L$11,0))," ")</f>
        <v xml:space="preserve"> </v>
      </c>
      <c r="L15" s="416"/>
      <c r="M15" s="420" t="str">
        <f t="array" ref="M15">+INDEX('[1]Integración SI'!$M$10:$P$10,MATCH(C15&amp;$A$3,'[1]Integración SI'!$M$5:$P$5&amp;'[1]Integración SI'!$L$10,0))</f>
        <v>-</v>
      </c>
      <c r="N15" s="420" t="str">
        <f>+IFERROR(INDEX('[1]Construcción-Adecuación'!$M$12:$O$12,MATCH(C15&amp;$A$3,'[1]Construcción-Adecuación'!$M$5:$O$5&amp;'[1]Construcción-Adecuación'!$L$12,0))," ")</f>
        <v xml:space="preserve"> </v>
      </c>
      <c r="O15" s="420" t="str">
        <f>+IFERROR(INDEX('[1]Gestión Tecnología'!$M$10:$P$10,MATCH(C15&amp;$A$3,'[1]Gestión Tecnología'!$M$5:$P$5&amp;'[1]Gestión Tecnología'!$L$10,0))," ")</f>
        <v xml:space="preserve"> </v>
      </c>
      <c r="P15" s="420" t="str">
        <f>+IFERROR(INDEX([1]PEGITH!$M$16:$T$16,MATCH(C15&amp;$A$3,[1]PEGITH!$M$5:$T$5&amp;[1]PEGITH!$L$16,0))," ")</f>
        <v xml:space="preserve"> </v>
      </c>
      <c r="Q15" s="420" t="str">
        <f>+IFERROR(INDEX('[1]ISO 140012015'!$M$8:$O$8,MATCH(C15&amp;$A$3,'[1]ISO 140012015'!$M$5:$O$5&amp;'[1]ISO 140012015'!$L$8,0))," ")</f>
        <v xml:space="preserve"> </v>
      </c>
      <c r="R15" s="420" t="str">
        <f>+IFERROR(INDEX('[1]ISO 450012018'!$M$8:$O$8,MATCH(C15&amp;$A$3,'[1]ISO 450012018'!$M$5:$O$5&amp;'[1]ISO 450012018'!$L$8,0))," ")</f>
        <v xml:space="preserve"> </v>
      </c>
      <c r="S15" s="420" t="str">
        <f>+IFERROR(INDEX('[1]ISO 90012015'!$M$8:$O$8,MATCH(C15&amp;$A$3,'[1]ISO 90012015'!$M$5:$O$5&amp;'[1]ISO 90012015'!$L$8,0))," ")</f>
        <v xml:space="preserve"> </v>
      </c>
      <c r="T15" s="420" t="str">
        <f>+IFERROR(INDEX([1]BPE!$M$8:$O$8,MATCH(C15&amp;$A$3,[1]BPE!$M$5:$O$5&amp;[1]BPE!$L$8,0))," ")</f>
        <v xml:space="preserve"> </v>
      </c>
      <c r="U15" s="420" t="str">
        <f>+IFERROR(INDEX([1]BPM!$M$8:$O$8,MATCH(C15&amp;$A$3,[1]BPM!$M$5:$O$5&amp;[1]BPM!$L$8,0))," ")</f>
        <v xml:space="preserve"> </v>
      </c>
      <c r="V15" s="420" t="str">
        <f>+IFERROR(INDEX('[1]Gestion Investigación'!$M$11:$O$11,MATCH(C15&amp;$A$3,'[1]Gestion Investigación'!$M$5:$O$5&amp;'[1]Gestion Investigación'!$L$11,0))," ")</f>
        <v xml:space="preserve"> </v>
      </c>
      <c r="W15" s="420" t="str">
        <f>+IFERROR(INDEX('[1]Líneas Investigación'!$M$8:$O$8,MATCH(C15&amp;$A$3,'[1]Líneas Investigación'!$M$5:$O$5&amp;'[1]Líneas Investigación'!$L$8,0))," ")</f>
        <v xml:space="preserve"> </v>
      </c>
      <c r="X15" s="420" t="str">
        <f>+IFERROR(INDEX([1]Congresos!$M$8:$O$8,MATCH(C15&amp;$A$3,[1]Congresos!$M$5:$O$5&amp;[1]Congresos!$L$8,0))," ")</f>
        <v xml:space="preserve"> </v>
      </c>
      <c r="Y15" s="420" t="str">
        <f>+IFERROR(INDEX('[1]Alianzas Estratégicas'!$M$8:$O$8,MATCH(C15&amp;$A$3,'[1]Alianzas Estratégicas'!$M$5:$O$5&amp;'[1]Alianzas Estratégicas'!$L$8,0))," ")</f>
        <v xml:space="preserve"> </v>
      </c>
      <c r="Z15" s="286" t="e">
        <f t="shared" si="2"/>
        <v>#DIV/0!</v>
      </c>
    </row>
    <row r="16" spans="1:26" ht="22.5" x14ac:dyDescent="0.25">
      <c r="C16" s="419" t="s">
        <v>468</v>
      </c>
      <c r="D16" s="286" t="str" cm="1">
        <f t="array" ref="D16">+IFERROR(INDEX('Programa Humanizacion'!$S$12:$V$12,MATCH(C16&amp;$A$3,'Programa Humanizacion'!$S$5:$V$5&amp;'Programa Humanizacion'!$L$12,0)),"")</f>
        <v/>
      </c>
      <c r="E16" s="286" t="str" cm="1">
        <f t="array" ref="E16">+IFERROR(INDEX('Modelo Atención'!$W$8:$AD$8,MATCH(C16&amp;$A$3,'Modelo Atención'!$W$5:$AD$5&amp;'Modelo Atención'!$L$8,0))," ")</f>
        <v xml:space="preserve"> </v>
      </c>
      <c r="F16" s="416"/>
      <c r="G16" s="286" t="str" cm="1">
        <f t="array" ref="G16">+IFERROR(INDEX('Seguridad Paciente'!$AA$11:$AL$11,MATCH(C16&amp;$A$3,'Seguridad Paciente'!$AA$5:$AL$5&amp;'Seguridad Paciente'!$L$11,0))," ")</f>
        <v xml:space="preserve"> </v>
      </c>
      <c r="H16" s="416"/>
      <c r="I16" s="420" t="str" cm="1">
        <f t="array" ref="I16">+IFERROR(INDEX(PEGIF!$W$29:$AF$29,MATCH(C16&amp;$A$3,PEGIF!$W$5:$AC$5&amp;PEGIF!$L$29,0))," ")</f>
        <v xml:space="preserve"> </v>
      </c>
      <c r="J16" s="420" t="str">
        <f>+IFERROR(INDEX([1]Costos!$M$12:$O$12,MATCH(C16&amp;$A$3,[1]Costos!$M$5:$O$5&amp;[1]Costos!$L$12,0))," ")</f>
        <v xml:space="preserve"> </v>
      </c>
      <c r="K16" s="420" t="str" cm="1">
        <f t="array" ref="K16">+IFERROR(INDEX('Prevención Daño Ant'!$Q$11:$Q$11,MATCH(C16&amp;$A$3,'Prevención Daño Ant'!$Q$5:$Q$5&amp;'Prevención Daño Ant'!$L$11,0))," ")</f>
        <v xml:space="preserve"> </v>
      </c>
      <c r="L16" s="416"/>
      <c r="M16" s="420" t="str">
        <f t="array" ref="M16">+INDEX('[1]Integración SI'!$M$10:$P$10,MATCH(C16&amp;$A$3,'[1]Integración SI'!$M$5:$P$5&amp;'[1]Integración SI'!$L$10,0))</f>
        <v>-</v>
      </c>
      <c r="N16" s="420" t="str">
        <f>+IFERROR(INDEX('[1]Construcción-Adecuación'!$M$12:$O$12,MATCH(C16&amp;$A$3,'[1]Construcción-Adecuación'!$M$5:$O$5&amp;'[1]Construcción-Adecuación'!$L$12,0))," ")</f>
        <v xml:space="preserve"> </v>
      </c>
      <c r="O16" s="420" t="str">
        <f>+IFERROR(INDEX('[1]Gestión Tecnología'!$M$10:$P$10,MATCH(C16&amp;$A$3,'[1]Gestión Tecnología'!$M$5:$P$5&amp;'[1]Gestión Tecnología'!$L$10,0))," ")</f>
        <v xml:space="preserve"> </v>
      </c>
      <c r="P16" s="420" t="str">
        <f>+IFERROR(INDEX([1]PEGITH!$M$16:$T$16,MATCH(C16&amp;$A$3,[1]PEGITH!$M$5:$T$5&amp;[1]PEGITH!$L$16,0))," ")</f>
        <v xml:space="preserve"> </v>
      </c>
      <c r="Q16" s="420" t="str">
        <f>+IFERROR(INDEX('[1]ISO 140012015'!$M$8:$O$8,MATCH(C16&amp;$A$3,'[1]ISO 140012015'!$M$5:$O$5&amp;'[1]ISO 140012015'!$L$8,0))," ")</f>
        <v xml:space="preserve"> </v>
      </c>
      <c r="R16" s="420" t="str">
        <f>+IFERROR(INDEX('[1]ISO 450012018'!$M$8:$O$8,MATCH(C16&amp;$A$3,'[1]ISO 450012018'!$M$5:$O$5&amp;'[1]ISO 450012018'!$L$8,0))," ")</f>
        <v xml:space="preserve"> </v>
      </c>
      <c r="S16" s="420" t="str">
        <f>+IFERROR(INDEX('[1]ISO 90012015'!$M$8:$O$8,MATCH(C16&amp;$A$3,'[1]ISO 90012015'!$M$5:$O$5&amp;'[1]ISO 90012015'!$L$8,0))," ")</f>
        <v xml:space="preserve"> </v>
      </c>
      <c r="T16" s="420" t="str">
        <f>+IFERROR(INDEX([1]BPE!$M$8:$O$8,MATCH(C16&amp;$A$3,[1]BPE!$M$5:$O$5&amp;[1]BPE!$L$8,0))," ")</f>
        <v xml:space="preserve"> </v>
      </c>
      <c r="U16" s="420" t="str">
        <f>+IFERROR(INDEX([1]BPM!$M$8:$O$8,MATCH(C16&amp;$A$3,[1]BPM!$M$5:$O$5&amp;[1]BPM!$L$8,0))," ")</f>
        <v xml:space="preserve"> </v>
      </c>
      <c r="V16" s="420" t="str">
        <f>+IFERROR(INDEX('[1]Gestion Investigación'!$M$11:$O$11,MATCH(C16&amp;$A$3,'[1]Gestion Investigación'!$M$5:$O$5&amp;'[1]Gestion Investigación'!$L$11,0))," ")</f>
        <v xml:space="preserve"> </v>
      </c>
      <c r="W16" s="420" t="str">
        <f>+IFERROR(INDEX('[1]Líneas Investigación'!$M$8:$O$8,MATCH(C16&amp;$A$3,'[1]Líneas Investigación'!$M$5:$O$5&amp;'[1]Líneas Investigación'!$L$8,0))," ")</f>
        <v xml:space="preserve"> </v>
      </c>
      <c r="X16" s="420" t="str">
        <f>+IFERROR(INDEX([1]Congresos!$M$8:$O$8,MATCH(C16&amp;$A$3,[1]Congresos!$M$5:$O$5&amp;[1]Congresos!$L$8,0))," ")</f>
        <v xml:space="preserve"> </v>
      </c>
      <c r="Y16" s="420" t="str">
        <f>+IFERROR(INDEX('[1]Alianzas Estratégicas'!$M$8:$O$8,MATCH(C16&amp;$A$3,'[1]Alianzas Estratégicas'!$M$5:$O$5&amp;'[1]Alianzas Estratégicas'!$L$8,0))," ")</f>
        <v xml:space="preserve"> </v>
      </c>
      <c r="Z16" s="286" t="e">
        <f>+AVERAGE(D16:Y16)</f>
        <v>#DIV/0!</v>
      </c>
    </row>
    <row r="17" spans="3:26" x14ac:dyDescent="0.25">
      <c r="C17" s="419" t="s">
        <v>535</v>
      </c>
      <c r="D17" s="286" t="str" cm="1">
        <f t="array" ref="D17">+IFERROR(INDEX('Programa Humanizacion'!$S$12:$V$12,MATCH(C17&amp;$A$3,'Programa Humanizacion'!$S$5:$V$5&amp;'Programa Humanizacion'!$L$12,0)),"")</f>
        <v/>
      </c>
      <c r="E17" s="286" t="str" cm="1">
        <f t="array" ref="E17">+IFERROR(INDEX('Modelo Atención'!$W$8:$AD$8,MATCH(C17&amp;$A$3,'Modelo Atención'!$W$5:$AD$5&amp;'Modelo Atención'!$L$8,0))," ")</f>
        <v xml:space="preserve"> </v>
      </c>
      <c r="F17" s="416"/>
      <c r="G17" s="286" t="str" cm="1">
        <f t="array" ref="G17">+IFERROR(INDEX('Seguridad Paciente'!$AA$11:$AL$11,MATCH(C17&amp;$A$3,'Seguridad Paciente'!$AA$5:$AL$5&amp;'Seguridad Paciente'!$L$11,0))," ")</f>
        <v xml:space="preserve"> </v>
      </c>
      <c r="H17" s="416"/>
      <c r="I17" s="420" t="str" cm="1">
        <f t="array" ref="I17">+IFERROR(INDEX(PEGIF!$W$29:$AF$29,MATCH(C17&amp;$A$3,PEGIF!$W$5:$AC$5&amp;PEGIF!$L$29,0))," ")</f>
        <v xml:space="preserve"> </v>
      </c>
      <c r="J17" s="420" t="str">
        <f>+IFERROR(INDEX([1]Costos!$M$12:$O$12,MATCH(C17&amp;$A$3,[1]Costos!$M$5:$O$5&amp;[1]Costos!$L$12,0))," ")</f>
        <v xml:space="preserve"> </v>
      </c>
      <c r="K17" s="420" t="str" cm="1">
        <f t="array" ref="K17">+IFERROR(INDEX('Prevención Daño Ant'!$Q$11:$Q$11,MATCH(C17&amp;$A$3,'Prevención Daño Ant'!$Q$5:$Q$5&amp;'Prevención Daño Ant'!$L$11,0))," ")</f>
        <v xml:space="preserve"> </v>
      </c>
      <c r="L17" s="416"/>
      <c r="M17" s="420" t="str">
        <f>+IFERROR(INDEX('[1]Integración SI'!$M$10:$P$10,MATCH(C17&amp;$A$3,'[1]Integración SI'!$M$5:$P$5&amp;'[1]Integración SI'!$L$10,0))," ")</f>
        <v xml:space="preserve"> </v>
      </c>
      <c r="N17" s="420" t="str">
        <f>+IFERROR(INDEX('[1]Construcción-Adecuación'!$M$12:$O$12,MATCH(C17&amp;$A$3,'[1]Construcción-Adecuación'!$M$5:$O$5&amp;'[1]Construcción-Adecuación'!$L$12,0))," ")</f>
        <v xml:space="preserve"> </v>
      </c>
      <c r="O17" s="420" t="str">
        <f>+IFERROR(INDEX('[1]Gestión Tecnología'!$M$10:$P$10,MATCH(C17&amp;$A$3,'[1]Gestión Tecnología'!$M$5:$P$5&amp;'[1]Gestión Tecnología'!$L$10,0))," ")</f>
        <v xml:space="preserve"> </v>
      </c>
      <c r="P17" s="286">
        <f t="array" ref="P17">+INDEX([1]PEGITH!$M$16:$T$16,MATCH(C17&amp;$A$3,[1]PEGITH!$M$5:$T$5&amp;[1]PEGITH!$L$16,0))</f>
        <v>1</v>
      </c>
      <c r="Q17" s="420" t="str">
        <f>+IFERROR(INDEX('[1]ISO 140012015'!$M$8:$O$8,MATCH(C17&amp;$A$3,'[1]ISO 140012015'!$M$5:$O$5&amp;'[1]ISO 140012015'!$L$8,0))," ")</f>
        <v xml:space="preserve"> </v>
      </c>
      <c r="R17" s="420" t="str">
        <f>+IFERROR(INDEX('[1]ISO 450012018'!$M$8:$O$8,MATCH(C17&amp;$A$3,'[1]ISO 450012018'!$M$5:$O$5&amp;'[1]ISO 450012018'!$L$8,0))," ")</f>
        <v xml:space="preserve"> </v>
      </c>
      <c r="S17" s="420" t="str">
        <f>+IFERROR(INDEX('[1]ISO 90012015'!$M$8:$O$8,MATCH(C17&amp;$A$3,'[1]ISO 90012015'!$M$5:$O$5&amp;'[1]ISO 90012015'!$L$8,0))," ")</f>
        <v xml:space="preserve"> </v>
      </c>
      <c r="T17" s="420" t="str">
        <f>+IFERROR(INDEX([1]BPE!$M$8:$O$8,MATCH(C17&amp;$A$3,[1]BPE!$M$5:$O$5&amp;[1]BPE!$L$8,0))," ")</f>
        <v xml:space="preserve"> </v>
      </c>
      <c r="U17" s="420" t="str">
        <f>+IFERROR(INDEX([1]BPM!$M$8:$O$8,MATCH(C17&amp;$A$3,[1]BPM!$M$5:$O$5&amp;[1]BPM!$L$8,0))," ")</f>
        <v xml:space="preserve"> </v>
      </c>
      <c r="V17" s="420" t="str">
        <f>+IFERROR(INDEX('[1]Gestion Investigación'!$M$11:$O$11,MATCH(C17&amp;$A$3,'[1]Gestion Investigación'!$M$5:$O$5&amp;'[1]Gestion Investigación'!$L$11,0))," ")</f>
        <v xml:space="preserve"> </v>
      </c>
      <c r="W17" s="420" t="str">
        <f>+IFERROR(INDEX('[1]Líneas Investigación'!$M$8:$O$8,MATCH(C17&amp;$A$3,'[1]Líneas Investigación'!$M$5:$O$5&amp;'[1]Líneas Investigación'!$L$8,0))," ")</f>
        <v xml:space="preserve"> </v>
      </c>
      <c r="X17" s="420" t="str">
        <f>+IFERROR(INDEX([1]Congresos!$M$8:$O$8,MATCH(C17&amp;$A$3,[1]Congresos!$M$5:$O$5&amp;[1]Congresos!$L$8,0))," ")</f>
        <v xml:space="preserve"> </v>
      </c>
      <c r="Y17" s="420" t="str">
        <f>+IFERROR(INDEX('[1]Alianzas Estratégicas'!$M$8:$O$8,MATCH(C17&amp;$A$3,'[1]Alianzas Estratégicas'!$M$5:$O$5&amp;'[1]Alianzas Estratégicas'!$L$8,0))," ")</f>
        <v xml:space="preserve"> </v>
      </c>
      <c r="Z17" s="286">
        <f t="shared" ref="Z17" si="3">+AVERAGE(D17:Y17)</f>
        <v>1</v>
      </c>
    </row>
    <row r="18" spans="3:26" x14ac:dyDescent="0.25">
      <c r="C18" s="419" t="s">
        <v>509</v>
      </c>
      <c r="D18" s="286" t="str" cm="1">
        <f t="array" ref="D18">+IFERROR(INDEX('Programa Humanizacion'!$S$12:$V$12,MATCH(C18&amp;$A$3,'Programa Humanizacion'!$S$5:$V$5&amp;'Programa Humanizacion'!$L$12,0)),"")</f>
        <v/>
      </c>
      <c r="E18" s="286" t="str" cm="1">
        <f t="array" ref="E18">+IFERROR(INDEX('Modelo Atención'!$W$8:$AD$8,MATCH(C18&amp;$A$3,'Modelo Atención'!$W$5:$AD$5&amp;'Modelo Atención'!$L$8,0))," ")</f>
        <v>-</v>
      </c>
      <c r="F18" s="416"/>
      <c r="G18" s="286" t="str" cm="1">
        <f t="array" ref="G18">+IFERROR(INDEX('Seguridad Paciente'!$AA$11:$AL$11,MATCH(C18&amp;$A$3,'Seguridad Paciente'!$AA$5:$AL$5&amp;'Seguridad Paciente'!$L$11,0))," ")</f>
        <v>-</v>
      </c>
      <c r="H18" s="416"/>
      <c r="I18" s="420" t="str" cm="1">
        <f t="array" ref="I18">+IFERROR(INDEX(PEGIF!$W$29:$AF$29,MATCH(C18&amp;$A$3,PEGIF!$W$5:$AC$5&amp;PEGIF!$L$29,0))," ")</f>
        <v xml:space="preserve"> </v>
      </c>
      <c r="J18" s="420" t="str">
        <f>+IFERROR(INDEX([1]Costos!$M$12:$O$12,MATCH(C18&amp;$A$3,[1]Costos!$M$5:$O$5&amp;[1]Costos!$L$12,0))," ")</f>
        <v xml:space="preserve"> </v>
      </c>
      <c r="K18" s="420" t="str" cm="1">
        <f t="array" ref="K18">+IFERROR(INDEX('Prevención Daño Ant'!$Q$11:$Q$11,MATCH(C18&amp;$A$3,'Prevención Daño Ant'!$Q$5:$Q$5&amp;'Prevención Daño Ant'!$L$11,0))," ")</f>
        <v xml:space="preserve"> </v>
      </c>
      <c r="L18" s="416"/>
      <c r="M18" s="420" t="str">
        <f>+IFERROR(INDEX('[1]Integración SI'!$M$10:$P$10,MATCH(C18&amp;$A$3,'[1]Integración SI'!$M$5:$P$5&amp;'[1]Integración SI'!$L$10,0))," ")</f>
        <v xml:space="preserve"> </v>
      </c>
      <c r="N18" s="420" t="str">
        <f>+IFERROR(INDEX('[1]Construcción-Adecuación'!$M$12:$O$12,MATCH(C18&amp;$A$3,'[1]Construcción-Adecuación'!$M$5:$O$5&amp;'[1]Construcción-Adecuación'!$L$12,0))," ")</f>
        <v xml:space="preserve"> </v>
      </c>
      <c r="O18" s="420" t="str">
        <f>+IFERROR(INDEX('[1]Gestión Tecnología'!$M$10:$P$10,MATCH(C18&amp;$A$3,'[1]Gestión Tecnología'!$M$5:$P$5&amp;'[1]Gestión Tecnología'!$L$10,0))," ")</f>
        <v xml:space="preserve"> </v>
      </c>
      <c r="P18" s="420" t="str">
        <f>+IFERROR(INDEX([1]PEGITH!$M$16:$T$16,MATCH(C18&amp;$A$3,[1]PEGITH!$M$5:$T$5&amp;[1]PEGITH!$L$16,0))," ")</f>
        <v xml:space="preserve"> </v>
      </c>
      <c r="Q18" s="420" t="str">
        <f>+IFERROR(INDEX('[1]ISO 140012015'!$M$8:$O$8,MATCH(C18&amp;$A$3,'[1]ISO 140012015'!$M$5:$O$5&amp;'[1]ISO 140012015'!$L$8,0))," ")</f>
        <v xml:space="preserve"> </v>
      </c>
      <c r="R18" s="420" t="str">
        <f>+IFERROR(INDEX('[1]ISO 450012018'!$M$8:$O$8,MATCH(C18&amp;$A$3,'[1]ISO 450012018'!$M$5:$O$5&amp;'[1]ISO 450012018'!$L$8,0))," ")</f>
        <v xml:space="preserve"> </v>
      </c>
      <c r="S18" s="420" t="str">
        <f>+IFERROR(INDEX('[1]ISO 90012015'!$M$8:$O$8,MATCH(C18&amp;$A$3,'[1]ISO 90012015'!$M$5:$O$5&amp;'[1]ISO 90012015'!$L$8,0))," ")</f>
        <v xml:space="preserve"> </v>
      </c>
      <c r="T18" s="420" t="str">
        <f>+IFERROR(INDEX([1]BPE!$M$8:$O$8,MATCH(C18&amp;$A$3,[1]BPE!$M$5:$O$5&amp;[1]BPE!$L$8,0))," ")</f>
        <v xml:space="preserve"> </v>
      </c>
      <c r="U18" s="420" t="str">
        <f>+IFERROR(INDEX([1]BPM!$M$8:$O$8,MATCH(C18&amp;$A$3,[1]BPM!$M$5:$O$5&amp;[1]BPM!$L$8,0))," ")</f>
        <v xml:space="preserve"> </v>
      </c>
      <c r="V18" s="420" t="str">
        <f>+IFERROR(INDEX('[1]Gestion Investigación'!$M$11:$O$11,MATCH(C18&amp;$A$3,'[1]Gestion Investigación'!$M$5:$O$5&amp;'[1]Gestion Investigación'!$L$11,0))," ")</f>
        <v xml:space="preserve"> </v>
      </c>
      <c r="W18" s="420" t="str">
        <f>+IFERROR(INDEX('[1]Líneas Investigación'!$M$8:$O$8,MATCH(C18&amp;$A$3,'[1]Líneas Investigación'!$M$5:$O$5&amp;'[1]Líneas Investigación'!$L$8,0))," ")</f>
        <v xml:space="preserve"> </v>
      </c>
      <c r="X18" s="420" t="str">
        <f>+IFERROR(INDEX([1]Congresos!$M$8:$O$8,MATCH(C18&amp;$A$3,[1]Congresos!$M$5:$O$5&amp;[1]Congresos!$L$8,0))," ")</f>
        <v xml:space="preserve"> </v>
      </c>
      <c r="Y18" s="420" t="str">
        <f>+IFERROR(INDEX('[1]Alianzas Estratégicas'!$M$8:$O$8,MATCH(C18&amp;$A$3,'[1]Alianzas Estratégicas'!$M$5:$O$5&amp;'[1]Alianzas Estratégicas'!$L$8,0))," ")</f>
        <v xml:space="preserve"> </v>
      </c>
      <c r="Z18" s="286" t="e">
        <f>+AVERAGE(D18:Y18)</f>
        <v>#DIV/0!</v>
      </c>
    </row>
    <row r="19" spans="3:26" x14ac:dyDescent="0.25">
      <c r="C19" s="419" t="s">
        <v>518</v>
      </c>
      <c r="D19" s="286" t="str" cm="1">
        <f t="array" ref="D19">+IFERROR(INDEX('Programa Humanizacion'!$S$12:$V$12,MATCH(C19&amp;$A$3,'Programa Humanizacion'!$S$5:$V$5&amp;'Programa Humanizacion'!$L$12,0)),"")</f>
        <v/>
      </c>
      <c r="E19" s="286" t="str" cm="1">
        <f t="array" ref="E19">+IFERROR(INDEX('Modelo Atención'!$W$8:$AD$8,MATCH(C19&amp;$A$3,'Modelo Atención'!$W$5:$AD$5&amp;'Modelo Atención'!$L$8,0))," ")</f>
        <v xml:space="preserve"> </v>
      </c>
      <c r="F19" s="416"/>
      <c r="G19" s="286" t="str" cm="1">
        <f t="array" ref="G19">+IFERROR(INDEX('Seguridad Paciente'!$AA$11:$AL$11,MATCH(C19&amp;$A$3,'Seguridad Paciente'!$AA$5:$AL$5&amp;'Seguridad Paciente'!$L$11,0))," ")</f>
        <v xml:space="preserve"> </v>
      </c>
      <c r="H19" s="416"/>
      <c r="I19" s="420" t="str" cm="1">
        <f t="array" ref="I19">+IFERROR(INDEX(PEGIF!$W$29:$AF$29,MATCH(C19&amp;$A$3,PEGIF!$W$5:$AC$5&amp;PEGIF!$L$29,0))," ")</f>
        <v xml:space="preserve"> </v>
      </c>
      <c r="J19" s="420" t="str">
        <f>+IFERROR(INDEX([1]Costos!$M$12:$O$12,MATCH(C19&amp;$A$3,[1]Costos!$M$5:$O$5&amp;[1]Costos!$L$12,0))," ")</f>
        <v xml:space="preserve"> </v>
      </c>
      <c r="K19" s="420" t="str" cm="1">
        <f t="array" ref="K19">+IFERROR(INDEX('Prevención Daño Ant'!$Q$11:$Q$11,MATCH(C19&amp;$A$3,'Prevención Daño Ant'!$Q$5:$Q$5&amp;'Prevención Daño Ant'!$L$11,0))," ")</f>
        <v xml:space="preserve"> </v>
      </c>
      <c r="L19" s="416"/>
      <c r="M19" s="420" t="str">
        <f>+IFERROR(INDEX('[1]Integración SI'!$M$10:$P$10,MATCH(C19&amp;$A$3,'[1]Integración SI'!$M$5:$P$5&amp;'[1]Integración SI'!$L$10,0))," ")</f>
        <v xml:space="preserve"> </v>
      </c>
      <c r="N19" s="420" t="str">
        <f>+IFERROR(INDEX('[1]Construcción-Adecuación'!$M$12:$O$12,MATCH(C19&amp;$A$3,'[1]Construcción-Adecuación'!$M$5:$O$5&amp;'[1]Construcción-Adecuación'!$L$12,0))," ")</f>
        <v xml:space="preserve"> </v>
      </c>
      <c r="O19" s="420" t="str">
        <f>+IFERROR(INDEX('[1]Gestión Tecnología'!$M$10:$P$10,MATCH(C19&amp;$A$3,'[1]Gestión Tecnología'!$M$5:$P$5&amp;'[1]Gestión Tecnología'!$L$10,0))," ")</f>
        <v xml:space="preserve"> </v>
      </c>
      <c r="P19" s="420" t="str">
        <f>+IFERROR(INDEX([1]PEGITH!$M$16:$T$16,MATCH(C19&amp;$A$3,[1]PEGITH!$M$5:$T$5&amp;[1]PEGITH!$L$16,0))," ")</f>
        <v xml:space="preserve"> </v>
      </c>
      <c r="Q19" s="420" t="str">
        <f>+IFERROR(INDEX('[1]ISO 140012015'!$M$8:$O$8,MATCH(C19&amp;$A$3,'[1]ISO 140012015'!$M$5:$O$5&amp;'[1]ISO 140012015'!$L$8,0))," ")</f>
        <v xml:space="preserve"> </v>
      </c>
      <c r="R19" s="420" t="str">
        <f>+IFERROR(INDEX('[1]ISO 450012018'!$M$8:$O$8,MATCH(C19&amp;$A$3,'[1]ISO 450012018'!$M$5:$O$5&amp;'[1]ISO 450012018'!$L$8,0))," ")</f>
        <v xml:space="preserve"> </v>
      </c>
      <c r="S19" s="420" t="str">
        <f>+IFERROR(INDEX('[1]ISO 90012015'!$M$8:$O$8,MATCH(C19&amp;$A$3,'[1]ISO 90012015'!$M$5:$O$5&amp;'[1]ISO 90012015'!$L$8,0))," ")</f>
        <v xml:space="preserve"> </v>
      </c>
      <c r="T19" s="420" t="str">
        <f>+IFERROR(INDEX([1]BPE!$M$8:$O$8,MATCH(C19&amp;$A$3,[1]BPE!$M$5:$O$5&amp;[1]BPE!$L$8,0))," ")</f>
        <v xml:space="preserve"> </v>
      </c>
      <c r="U19" s="420" t="str">
        <f>+IFERROR(INDEX([1]BPM!$M$8:$O$8,MATCH(C19&amp;$A$3,[1]BPM!$M$5:$O$5&amp;[1]BPM!$L$8,0))," ")</f>
        <v xml:space="preserve"> </v>
      </c>
      <c r="V19" s="420" t="str">
        <f>+IFERROR(INDEX('[1]Gestion Investigación'!$M$11:$O$11,MATCH(C19&amp;$A$3,'[1]Gestion Investigación'!$M$5:$O$5&amp;'[1]Gestion Investigación'!$L$11,0))," ")</f>
        <v xml:space="preserve"> </v>
      </c>
      <c r="W19" s="420" t="str">
        <f>+IFERROR(INDEX('[1]Líneas Investigación'!$M$8:$O$8,MATCH(C19&amp;$A$3,'[1]Líneas Investigación'!$M$5:$O$5&amp;'[1]Líneas Investigación'!$L$8,0))," ")</f>
        <v xml:space="preserve"> </v>
      </c>
      <c r="X19" s="420" t="str">
        <f>+IFERROR(INDEX([1]Congresos!$M$8:$O$8,MATCH(C19&amp;$A$3,[1]Congresos!$M$5:$O$5&amp;[1]Congresos!$L$8,0))," ")</f>
        <v xml:space="preserve"> </v>
      </c>
      <c r="Y19" s="420" t="str">
        <f>+IFERROR(INDEX('[1]Alianzas Estratégicas'!$M$8:$O$8,MATCH(C19&amp;$A$3,'[1]Alianzas Estratégicas'!$M$5:$O$5&amp;'[1]Alianzas Estratégicas'!$L$8,0))," ")</f>
        <v xml:space="preserve"> </v>
      </c>
      <c r="Z19" s="286" t="e">
        <f>+AVERAGE(D19:Y19)</f>
        <v>#DIV/0!</v>
      </c>
    </row>
    <row r="20" spans="3:26" x14ac:dyDescent="0.25">
      <c r="C20" s="419" t="s">
        <v>246</v>
      </c>
      <c r="D20" s="286" t="str" cm="1">
        <f t="array" ref="D20">+IFERROR(INDEX('Programa Humanizacion'!$S$12:$V$12,MATCH(C20&amp;$A$3,'Programa Humanizacion'!$S$5:$V$5&amp;'Programa Humanizacion'!$L$12,0)),"")</f>
        <v/>
      </c>
      <c r="E20" s="286" t="str" cm="1">
        <f t="array" ref="E20">+IFERROR(INDEX('Modelo Atención'!$W$8:$AD$8,MATCH(C20&amp;$A$3,'Modelo Atención'!$W$5:$AD$5&amp;'Modelo Atención'!$L$8,0))," ")</f>
        <v xml:space="preserve"> </v>
      </c>
      <c r="F20" s="416"/>
      <c r="G20" s="286" t="str" cm="1">
        <f t="array" ref="G20">+IFERROR(INDEX('Seguridad Paciente'!$AA$11:$AL$11,MATCH(C20&amp;$A$3,'Seguridad Paciente'!$AA$5:$AL$5&amp;'Seguridad Paciente'!$L$11,0))," ")</f>
        <v xml:space="preserve"> </v>
      </c>
      <c r="H20" s="416"/>
      <c r="I20" s="420" t="str" cm="1">
        <f t="array" ref="I20">+IFERROR(INDEX(PEGIF!$W$29:$AF$29,MATCH(C20&amp;$A$3,PEGIF!$W$5:$AC$5&amp;PEGIF!$L$29,0))," ")</f>
        <v xml:space="preserve"> </v>
      </c>
      <c r="J20" s="420" t="str">
        <f>+IFERROR(INDEX([1]Costos!$M$12:$O$12,MATCH(C20&amp;$A$3,[1]Costos!$M$5:$O$5&amp;[1]Costos!$L$12,0))," ")</f>
        <v xml:space="preserve"> </v>
      </c>
      <c r="K20" s="420" t="str" cm="1">
        <f t="array" ref="K20">+IFERROR(INDEX('Prevención Daño Ant'!$Q$11:$Q$11,MATCH(C20&amp;$A$3,'Prevención Daño Ant'!$Q$5:$Q$5&amp;'Prevención Daño Ant'!$L$11,0))," ")</f>
        <v xml:space="preserve"> </v>
      </c>
      <c r="L20" s="416"/>
      <c r="M20" s="420" t="str">
        <f>+IFERROR(INDEX('[1]Integración SI'!$M$10:$P$10,MATCH(C20&amp;$A$3,'[1]Integración SI'!$M$5:$P$5&amp;'[1]Integración SI'!$L$10,0))," ")</f>
        <v xml:space="preserve"> </v>
      </c>
      <c r="N20" s="420" t="str">
        <f>+IFERROR(INDEX('[1]Construcción-Adecuación'!$M$12:$O$12,MATCH(C20&amp;$A$3,'[1]Construcción-Adecuación'!$M$5:$O$5&amp;'[1]Construcción-Adecuación'!$L$12,0))," ")</f>
        <v xml:space="preserve"> </v>
      </c>
      <c r="O20" s="420" t="str">
        <f>+IFERROR(INDEX('[1]Gestión Tecnología'!$M$10:$P$10,MATCH(C20&amp;$A$3,'[1]Gestión Tecnología'!$M$5:$P$5&amp;'[1]Gestión Tecnología'!$L$10,0))," ")</f>
        <v xml:space="preserve"> </v>
      </c>
      <c r="P20" s="420" t="str">
        <f>+IFERROR(INDEX([1]PEGITH!$M$16:$T$16,MATCH(C20&amp;$A$3,[1]PEGITH!$M$5:$T$5&amp;[1]PEGITH!$L$16,0))," ")</f>
        <v xml:space="preserve"> </v>
      </c>
      <c r="Q20" s="420" t="str">
        <f>+IFERROR(INDEX('[1]ISO 140012015'!$M$8:$O$8,MATCH(C20&amp;$A$3,'[1]ISO 140012015'!$M$5:$O$5&amp;'[1]ISO 140012015'!$L$8,0))," ")</f>
        <v xml:space="preserve"> </v>
      </c>
      <c r="R20" s="420" t="str">
        <f>+IFERROR(INDEX('[1]ISO 450012018'!$M$8:$O$8,MATCH(C20&amp;$A$3,'[1]ISO 450012018'!$M$5:$O$5&amp;'[1]ISO 450012018'!$L$8,0))," ")</f>
        <v xml:space="preserve"> </v>
      </c>
      <c r="S20" s="420" t="str">
        <f>+IFERROR(INDEX('[1]ISO 90012015'!$M$8:$O$8,MATCH(C20&amp;$A$3,'[1]ISO 90012015'!$M$5:$O$5&amp;'[1]ISO 90012015'!$L$8,0))," ")</f>
        <v xml:space="preserve"> </v>
      </c>
      <c r="T20" s="420" t="str">
        <f>+IFERROR(INDEX([1]BPE!$M$8:$O$8,MATCH(C20&amp;$A$3,[1]BPE!$M$5:$O$5&amp;[1]BPE!$L$8,0))," ")</f>
        <v xml:space="preserve"> </v>
      </c>
      <c r="U20" s="420" t="str">
        <f>+IFERROR(INDEX([1]BPM!$M$8:$O$8,MATCH(C20&amp;$A$3,[1]BPM!$M$5:$O$5&amp;[1]BPM!$L$8,0))," ")</f>
        <v xml:space="preserve"> </v>
      </c>
      <c r="V20" s="420" t="str">
        <f>+IFERROR(INDEX('[1]Gestion Investigación'!$M$11:$O$11,MATCH(C20&amp;$A$3,'[1]Gestion Investigación'!$M$5:$O$5&amp;'[1]Gestion Investigación'!$L$11,0))," ")</f>
        <v xml:space="preserve"> </v>
      </c>
      <c r="W20" s="420" t="str">
        <f>+IFERROR(INDEX('[1]Líneas Investigación'!$M$8:$O$8,MATCH(C20&amp;$A$3,'[1]Líneas Investigación'!$M$5:$O$5&amp;'[1]Líneas Investigación'!$L$8,0))," ")</f>
        <v xml:space="preserve"> </v>
      </c>
      <c r="X20" s="420" t="str">
        <f>+IFERROR(INDEX([1]Congresos!$M$8:$O$8,MATCH(C20&amp;$A$3,[1]Congresos!$M$5:$O$5&amp;[1]Congresos!$L$8,0))," ")</f>
        <v xml:space="preserve"> </v>
      </c>
      <c r="Y20" s="420" t="str">
        <f>+IFERROR(INDEX('[1]Alianzas Estratégicas'!$M$8:$O$8,MATCH(C20&amp;$A$3,'[1]Alianzas Estratégicas'!$M$5:$O$5&amp;'[1]Alianzas Estratégicas'!$L$8,0))," ")</f>
        <v xml:space="preserve"> </v>
      </c>
      <c r="Z20" s="286" t="e">
        <f>+AVERAGE(D20:Y20)</f>
        <v>#DIV/0!</v>
      </c>
    </row>
    <row r="21" spans="3:26" x14ac:dyDescent="0.25">
      <c r="C21" s="419" t="s">
        <v>508</v>
      </c>
      <c r="D21" s="286" t="str" cm="1">
        <f t="array" ref="D21">+IFERROR(INDEX('Programa Humanizacion'!$S$12:$V$12,MATCH(C21&amp;$A$3,'Programa Humanizacion'!$S$5:$V$5&amp;'Programa Humanizacion'!$L$12,0)),"")</f>
        <v/>
      </c>
      <c r="E21" s="286" t="str" cm="1">
        <f t="array" ref="E21">+IFERROR(INDEX('Modelo Atención'!$W$8:$AD$8,MATCH(C21&amp;$A$3,'Modelo Atención'!$W$5:$AD$5&amp;'Modelo Atención'!$L$8,0))," ")</f>
        <v>-</v>
      </c>
      <c r="F21" s="416"/>
      <c r="G21" s="286" t="str" cm="1">
        <f t="array" ref="G21">+IFERROR(INDEX('Seguridad Paciente'!$AA$11:$AL$11,MATCH(C21&amp;$A$3,'Seguridad Paciente'!$AA$5:$AL$5&amp;'Seguridad Paciente'!$L$11,0))," ")</f>
        <v>-</v>
      </c>
      <c r="H21" s="416"/>
      <c r="I21" s="420" t="str" cm="1">
        <f t="array" ref="I21">+IFERROR(INDEX(PEGIF!$W$29:$AF$29,MATCH(C21&amp;$A$3,PEGIF!$W$5:$AC$5&amp;PEGIF!$L$29,0))," ")</f>
        <v xml:space="preserve"> </v>
      </c>
      <c r="J21" s="420" t="str">
        <f>+IFERROR(INDEX([1]Costos!$M$12:$O$12,MATCH(C21&amp;$A$3,[1]Costos!$M$5:$O$5&amp;[1]Costos!$L$12,0))," ")</f>
        <v xml:space="preserve"> </v>
      </c>
      <c r="K21" s="420" t="str" cm="1">
        <f t="array" ref="K21">+IFERROR(INDEX('Prevención Daño Ant'!$Q$11:$Q$11,MATCH(C21&amp;$A$3,'Prevención Daño Ant'!$Q$5:$Q$5&amp;'Prevención Daño Ant'!$L$11,0))," ")</f>
        <v xml:space="preserve"> </v>
      </c>
      <c r="L21" s="416"/>
      <c r="M21" s="420" t="str">
        <f>+IFERROR(INDEX('[1]Integración SI'!$M$10:$P$10,MATCH(C21&amp;$A$3,'[1]Integración SI'!$M$5:$P$5&amp;'[1]Integración SI'!$L$10,0))," ")</f>
        <v xml:space="preserve"> </v>
      </c>
      <c r="N21" s="420" t="str">
        <f>+IFERROR(INDEX('[1]Construcción-Adecuación'!$M$12:$O$12,MATCH(C21&amp;$A$3,'[1]Construcción-Adecuación'!$M$5:$O$5&amp;'[1]Construcción-Adecuación'!$L$12,0))," ")</f>
        <v xml:space="preserve"> </v>
      </c>
      <c r="O21" s="420" t="str">
        <f>+IFERROR(INDEX('[1]Gestión Tecnología'!$M$10:$P$10,MATCH(C21&amp;$A$3,'[1]Gestión Tecnología'!$M$5:$P$5&amp;'[1]Gestión Tecnología'!$L$10,0))," ")</f>
        <v xml:space="preserve"> </v>
      </c>
      <c r="P21" s="420" t="str">
        <f>+IFERROR(INDEX([1]PEGITH!$M$16:$T$16,MATCH(C21&amp;$A$3,[1]PEGITH!$M$5:$T$5&amp;[1]PEGITH!$L$16,0))," ")</f>
        <v xml:space="preserve"> </v>
      </c>
      <c r="Q21" s="420" t="str">
        <f>+IFERROR(INDEX('[1]ISO 140012015'!$M$8:$O$8,MATCH(C21&amp;$A$3,'[1]ISO 140012015'!$M$5:$O$5&amp;'[1]ISO 140012015'!$L$8,0))," ")</f>
        <v xml:space="preserve"> </v>
      </c>
      <c r="R21" s="420" t="str">
        <f>+IFERROR(INDEX('[1]ISO 450012018'!$M$8:$O$8,MATCH(C21&amp;$A$3,'[1]ISO 450012018'!$M$5:$O$5&amp;'[1]ISO 450012018'!$L$8,0))," ")</f>
        <v xml:space="preserve"> </v>
      </c>
      <c r="S21" s="420" t="str">
        <f>+IFERROR(INDEX('[1]ISO 90012015'!$M$8:$O$8,MATCH(C21&amp;$A$3,'[1]ISO 90012015'!$M$5:$O$5&amp;'[1]ISO 90012015'!$L$8,0))," ")</f>
        <v xml:space="preserve"> </v>
      </c>
      <c r="T21" s="420" t="str">
        <f>+IFERROR(INDEX([1]BPE!$M$8:$O$8,MATCH(C21&amp;$A$3,[1]BPE!$M$5:$O$5&amp;[1]BPE!$L$8,0))," ")</f>
        <v xml:space="preserve"> </v>
      </c>
      <c r="U21" s="420" t="str">
        <f>+IFERROR(INDEX([1]BPM!$M$8:$O$8,MATCH(C21&amp;$A$3,[1]BPM!$M$5:$O$5&amp;[1]BPM!$L$8,0))," ")</f>
        <v xml:space="preserve"> </v>
      </c>
      <c r="V21" s="420" t="str">
        <f>+IFERROR(INDEX('[1]Gestion Investigación'!$M$11:$O$11,MATCH(C21&amp;$A$3,'[1]Gestion Investigación'!$M$5:$O$5&amp;'[1]Gestion Investigación'!$L$11,0))," ")</f>
        <v xml:space="preserve"> </v>
      </c>
      <c r="W21" s="420" t="str">
        <f>+IFERROR(INDEX('[1]Líneas Investigación'!$M$8:$O$8,MATCH(C21&amp;$A$3,'[1]Líneas Investigación'!$M$5:$O$5&amp;'[1]Líneas Investigación'!$L$8,0))," ")</f>
        <v xml:space="preserve"> </v>
      </c>
      <c r="X21" s="420" t="str">
        <f>+IFERROR(INDEX([1]Congresos!$M$8:$O$8,MATCH(C21&amp;$A$3,[1]Congresos!$M$5:$O$5&amp;[1]Congresos!$L$8,0))," ")</f>
        <v xml:space="preserve"> </v>
      </c>
      <c r="Y21" s="420" t="str">
        <f>+IFERROR(INDEX('[1]Alianzas Estratégicas'!$M$8:$O$8,MATCH(C21&amp;$A$3,'[1]Alianzas Estratégicas'!$M$5:$O$5&amp;'[1]Alianzas Estratégicas'!$L$8,0))," ")</f>
        <v xml:space="preserve"> </v>
      </c>
      <c r="Z21" s="286" t="e">
        <f>+AVERAGE(D21:Y21)</f>
        <v>#DIV/0!</v>
      </c>
    </row>
    <row r="22" spans="3:26" x14ac:dyDescent="0.25">
      <c r="C22" s="419" t="s">
        <v>224</v>
      </c>
      <c r="D22" s="286" t="str" cm="1">
        <f t="array" ref="D22">+IFERROR(INDEX('Programa Humanizacion'!$S$12:$V$12,MATCH(C22&amp;$A$3,'Programa Humanizacion'!$S$5:$V$5&amp;'Programa Humanizacion'!$L$12,0)),"")</f>
        <v/>
      </c>
      <c r="E22" s="286" t="str" cm="1">
        <f t="array" ref="E22">+IFERROR(INDEX('Modelo Atención'!$W$8:$AD$8,MATCH(C22&amp;$A$3,'Modelo Atención'!$W$5:$AD$5&amp;'Modelo Atención'!$L$8,0))," ")</f>
        <v>-</v>
      </c>
      <c r="F22" s="416"/>
      <c r="G22" s="286" t="str" cm="1">
        <f t="array" ref="G22">+IFERROR(INDEX('Seguridad Paciente'!$AA$11:$AL$11,MATCH(C22&amp;$A$3,'Seguridad Paciente'!$AA$5:$AL$5&amp;'Seguridad Paciente'!$L$11,0))," ")</f>
        <v>-</v>
      </c>
      <c r="H22" s="416"/>
      <c r="I22" s="420" t="str" cm="1">
        <f t="array" ref="I22">+IFERROR(INDEX(PEGIF!$W$29:$AF$29,MATCH(C22&amp;$A$3,PEGIF!$W$5:$AC$5&amp;PEGIF!$L$29,0))," ")</f>
        <v xml:space="preserve"> </v>
      </c>
      <c r="J22" s="420" t="str">
        <f>+IFERROR(INDEX([1]Costos!$M$12:$O$12,MATCH(C22&amp;$A$3,[1]Costos!$M$5:$O$5&amp;[1]Costos!$L$12,0))," ")</f>
        <v xml:space="preserve"> </v>
      </c>
      <c r="K22" s="420" t="str" cm="1">
        <f t="array" ref="K22">+IFERROR(INDEX('Prevención Daño Ant'!$Q$11:$Q$11,MATCH(C22&amp;$A$3,'Prevención Daño Ant'!$Q$5:$Q$5&amp;'Prevención Daño Ant'!$L$11,0))," ")</f>
        <v xml:space="preserve"> </v>
      </c>
      <c r="L22" s="416"/>
      <c r="M22" s="420" t="str">
        <f>+IFERROR(INDEX('[1]Integración SI'!$M$10:$P$10,MATCH(C22&amp;$A$3,'[1]Integración SI'!$M$5:$P$5&amp;'[1]Integración SI'!$L$10,0))," ")</f>
        <v xml:space="preserve"> </v>
      </c>
      <c r="N22" s="420" t="str">
        <f>+IFERROR(INDEX('[1]Construcción-Adecuación'!$M$12:$O$12,MATCH(C22&amp;$A$3,'[1]Construcción-Adecuación'!$M$5:$O$5&amp;'[1]Construcción-Adecuación'!$L$12,0))," ")</f>
        <v xml:space="preserve"> </v>
      </c>
      <c r="O22" s="420" t="str">
        <f>+IFERROR(INDEX('[1]Gestión Tecnología'!$M$10:$P$10,MATCH(C22&amp;$A$3,'[1]Gestión Tecnología'!$M$5:$P$5&amp;'[1]Gestión Tecnología'!$L$10,0))," ")</f>
        <v xml:space="preserve"> </v>
      </c>
      <c r="P22" s="420" t="str">
        <f>+IFERROR(INDEX([1]PEGITH!$M$16:$T$16,MATCH(C22&amp;$A$3,[1]PEGITH!$M$5:$T$5&amp;[1]PEGITH!$L$16,0))," ")</f>
        <v xml:space="preserve"> </v>
      </c>
      <c r="Q22" s="420" t="str">
        <f>+IFERROR(INDEX('[1]ISO 140012015'!$M$8:$O$8,MATCH(C22&amp;$A$3,'[1]ISO 140012015'!$M$5:$O$5&amp;'[1]ISO 140012015'!$L$8,0))," ")</f>
        <v xml:space="preserve"> </v>
      </c>
      <c r="R22" s="420" t="str">
        <f>+IFERROR(INDEX('[1]ISO 450012018'!$M$8:$O$8,MATCH(C22&amp;$A$3,'[1]ISO 450012018'!$M$5:$O$5&amp;'[1]ISO 450012018'!$L$8,0))," ")</f>
        <v xml:space="preserve"> </v>
      </c>
      <c r="S22" s="420" t="str">
        <f>+IFERROR(INDEX('[1]ISO 90012015'!$M$8:$O$8,MATCH(C22&amp;$A$3,'[1]ISO 90012015'!$M$5:$O$5&amp;'[1]ISO 90012015'!$L$8,0))," ")</f>
        <v xml:space="preserve"> </v>
      </c>
      <c r="T22" s="420" t="str">
        <f>+IFERROR(INDEX([1]BPE!$M$8:$O$8,MATCH(C22&amp;$A$3,[1]BPE!$M$5:$O$5&amp;[1]BPE!$L$8,0))," ")</f>
        <v xml:space="preserve"> </v>
      </c>
      <c r="U22" s="420" t="str">
        <f>+IFERROR(INDEX([1]BPM!$M$8:$O$8,MATCH(C22&amp;$A$3,[1]BPM!$M$5:$O$5&amp;[1]BPM!$L$8,0))," ")</f>
        <v xml:space="preserve"> </v>
      </c>
      <c r="V22" s="420" t="str">
        <f>+IFERROR(INDEX('[1]Gestion Investigación'!$M$11:$O$11,MATCH(C22&amp;$A$3,'[1]Gestion Investigación'!$M$5:$O$5&amp;'[1]Gestion Investigación'!$L$11,0))," ")</f>
        <v xml:space="preserve"> </v>
      </c>
      <c r="W22" s="420" t="str">
        <f>+IFERROR(INDEX('[1]Líneas Investigación'!$M$8:$O$8,MATCH(C22&amp;$A$3,'[1]Líneas Investigación'!$M$5:$O$5&amp;'[1]Líneas Investigación'!$L$8,0))," ")</f>
        <v xml:space="preserve"> </v>
      </c>
      <c r="X22" s="420" t="str">
        <f>+IFERROR(INDEX([1]Congresos!$M$8:$O$8,MATCH(C22&amp;$A$3,[1]Congresos!$M$5:$O$5&amp;[1]Congresos!$L$8,0))," ")</f>
        <v xml:space="preserve"> </v>
      </c>
      <c r="Y22" s="420" t="str">
        <f>+IFERROR(INDEX('[1]Alianzas Estratégicas'!$M$8:$O$8,MATCH(C22&amp;$A$3,'[1]Alianzas Estratégicas'!$M$5:$O$5&amp;'[1]Alianzas Estratégicas'!$L$8,0))," ")</f>
        <v xml:space="preserve"> </v>
      </c>
      <c r="Z22" s="286" t="e">
        <f t="shared" ref="Z22:Z26" si="4">+AVERAGE(D22:Y22)</f>
        <v>#DIV/0!</v>
      </c>
    </row>
    <row r="23" spans="3:26" x14ac:dyDescent="0.25">
      <c r="C23" s="419" t="s">
        <v>225</v>
      </c>
      <c r="D23" s="286" t="str" cm="1">
        <f t="array" ref="D23">+IFERROR(INDEX('Programa Humanizacion'!$S$12:$V$12,MATCH(C23&amp;$A$3,'Programa Humanizacion'!$S$5:$V$5&amp;'Programa Humanizacion'!$L$12,0)),"")</f>
        <v/>
      </c>
      <c r="E23" s="286" t="str" cm="1">
        <f t="array" ref="E23">+IFERROR(INDEX('Modelo Atención'!$W$8:$AD$8,MATCH(C23&amp;$A$3,'Modelo Atención'!$W$5:$AD$5&amp;'Modelo Atención'!$L$8,0))," ")</f>
        <v>-</v>
      </c>
      <c r="F23" s="416"/>
      <c r="G23" s="286" t="str" cm="1">
        <f t="array" ref="G23">+IFERROR(INDEX('Seguridad Paciente'!$AA$11:$AL$11,MATCH(C23&amp;$A$3,'Seguridad Paciente'!$AA$5:$AL$5&amp;'Seguridad Paciente'!$L$11,0))," ")</f>
        <v>-</v>
      </c>
      <c r="H23" s="416"/>
      <c r="I23" s="420" t="str" cm="1">
        <f t="array" ref="I23">+IFERROR(INDEX(PEGIF!$W$29:$AF$29,MATCH(C23&amp;$A$3,PEGIF!$W$5:$AC$5&amp;PEGIF!$L$29,0))," ")</f>
        <v xml:space="preserve"> </v>
      </c>
      <c r="J23" s="420" t="str">
        <f>+IFERROR(INDEX([1]Costos!$M$12:$O$12,MATCH(C23&amp;$A$3,[1]Costos!$M$5:$O$5&amp;[1]Costos!$L$12,0))," ")</f>
        <v xml:space="preserve"> </v>
      </c>
      <c r="K23" s="420" t="str" cm="1">
        <f t="array" ref="K23">+IFERROR(INDEX('Prevención Daño Ant'!$Q$11:$Q$11,MATCH(C23&amp;$A$3,'Prevención Daño Ant'!$Q$5:$Q$5&amp;'Prevención Daño Ant'!$L$11,0))," ")</f>
        <v xml:space="preserve"> </v>
      </c>
      <c r="L23" s="416"/>
      <c r="M23" s="420" t="str">
        <f>+IFERROR(INDEX('[1]Integración SI'!$M$10:$P$10,MATCH(C23&amp;$A$3,'[1]Integración SI'!$M$5:$P$5&amp;'[1]Integración SI'!$L$10,0))," ")</f>
        <v xml:space="preserve"> </v>
      </c>
      <c r="N23" s="420" t="str">
        <f>+IFERROR(INDEX('[1]Construcción-Adecuación'!$M$12:$O$12,MATCH(C23&amp;$A$3,'[1]Construcción-Adecuación'!$M$5:$O$5&amp;'[1]Construcción-Adecuación'!$L$12,0))," ")</f>
        <v xml:space="preserve"> </v>
      </c>
      <c r="O23" s="420" t="str">
        <f>+IFERROR(INDEX('[1]Gestión Tecnología'!$M$10:$P$10,MATCH(C23&amp;$A$3,'[1]Gestión Tecnología'!$M$5:$P$5&amp;'[1]Gestión Tecnología'!$L$10,0))," ")</f>
        <v xml:space="preserve"> </v>
      </c>
      <c r="P23" s="420" t="str">
        <f>+IFERROR(INDEX([1]PEGITH!$M$16:$T$16,MATCH(C23&amp;$A$3,[1]PEGITH!$M$5:$T$5&amp;[1]PEGITH!$L$16,0))," ")</f>
        <v xml:space="preserve"> </v>
      </c>
      <c r="Q23" s="420" t="str">
        <f>+IFERROR(INDEX('[1]ISO 140012015'!$M$8:$O$8,MATCH(C23&amp;$A$3,'[1]ISO 140012015'!$M$5:$O$5&amp;'[1]ISO 140012015'!$L$8,0))," ")</f>
        <v xml:space="preserve"> </v>
      </c>
      <c r="R23" s="420" t="str">
        <f>+IFERROR(INDEX('[1]ISO 450012018'!$M$8:$O$8,MATCH(C23&amp;$A$3,'[1]ISO 450012018'!$M$5:$O$5&amp;'[1]ISO 450012018'!$L$8,0))," ")</f>
        <v xml:space="preserve"> </v>
      </c>
      <c r="S23" s="420" t="str">
        <f>+IFERROR(INDEX('[1]ISO 90012015'!$M$8:$O$8,MATCH(C23&amp;$A$3,'[1]ISO 90012015'!$M$5:$O$5&amp;'[1]ISO 90012015'!$L$8,0))," ")</f>
        <v xml:space="preserve"> </v>
      </c>
      <c r="T23" s="420" t="str">
        <f>+IFERROR(INDEX([1]BPE!$M$8:$O$8,MATCH(C23&amp;$A$3,[1]BPE!$M$5:$O$5&amp;[1]BPE!$L$8,0))," ")</f>
        <v xml:space="preserve"> </v>
      </c>
      <c r="U23" s="420" t="str">
        <f>+IFERROR(INDEX([1]BPM!$M$8:$O$8,MATCH(C23&amp;$A$3,[1]BPM!$M$5:$O$5&amp;[1]BPM!$L$8,0))," ")</f>
        <v xml:space="preserve"> </v>
      </c>
      <c r="V23" s="420" t="str">
        <f>+IFERROR(INDEX('[1]Gestion Investigación'!$M$11:$O$11,MATCH(C23&amp;$A$3,'[1]Gestion Investigación'!$M$5:$O$5&amp;'[1]Gestion Investigación'!$L$11,0))," ")</f>
        <v xml:space="preserve"> </v>
      </c>
      <c r="W23" s="420" t="str">
        <f>+IFERROR(INDEX('[1]Líneas Investigación'!$M$8:$O$8,MATCH(C23&amp;$A$3,'[1]Líneas Investigación'!$M$5:$O$5&amp;'[1]Líneas Investigación'!$L$8,0))," ")</f>
        <v xml:space="preserve"> </v>
      </c>
      <c r="X23" s="420" t="str">
        <f>+IFERROR(INDEX([1]Congresos!$M$8:$O$8,MATCH(C23&amp;$A$3,[1]Congresos!$M$5:$O$5&amp;[1]Congresos!$L$8,0))," ")</f>
        <v xml:space="preserve"> </v>
      </c>
      <c r="Y23" s="420" t="str">
        <f>+IFERROR(INDEX('[1]Alianzas Estratégicas'!$M$8:$O$8,MATCH(C23&amp;$A$3,'[1]Alianzas Estratégicas'!$M$5:$O$5&amp;'[1]Alianzas Estratégicas'!$L$8,0))," ")</f>
        <v xml:space="preserve"> </v>
      </c>
      <c r="Z23" s="286" t="e">
        <f t="shared" si="4"/>
        <v>#DIV/0!</v>
      </c>
    </row>
    <row r="24" spans="3:26" x14ac:dyDescent="0.25">
      <c r="C24" s="419" t="s">
        <v>289</v>
      </c>
      <c r="D24" s="286" t="str" cm="1">
        <f t="array" ref="D24">+IFERROR(INDEX('Programa Humanizacion'!$S$12:$V$12,MATCH(C24&amp;$A$3,'Programa Humanizacion'!$S$5:$V$5&amp;'Programa Humanizacion'!$L$12,0)),"")</f>
        <v/>
      </c>
      <c r="E24" s="286" t="str" cm="1">
        <f t="array" ref="E24">+IFERROR(INDEX('Modelo Atención'!$W$8:$AD$8,MATCH(C24&amp;$A$3,'Modelo Atención'!$W$5:$AD$5&amp;'Modelo Atención'!$L$8,0))," ")</f>
        <v>-</v>
      </c>
      <c r="F24" s="416"/>
      <c r="G24" s="286" t="str" cm="1">
        <f t="array" ref="G24">+IFERROR(INDEX('Seguridad Paciente'!$AA$11:$AL$11,MATCH(C24&amp;$A$3,'Seguridad Paciente'!$AA$5:$AL$5&amp;'Seguridad Paciente'!$L$11,0))," ")</f>
        <v>-</v>
      </c>
      <c r="H24" s="416"/>
      <c r="I24" s="420" t="str" cm="1">
        <f t="array" ref="I24">+IFERROR(INDEX(PEGIF!$W$29:$AF$29,MATCH(C24&amp;$A$3,PEGIF!$W$5:$AC$5&amp;PEGIF!$L$29,0))," ")</f>
        <v xml:space="preserve"> </v>
      </c>
      <c r="J24" s="420" t="str">
        <f>+IFERROR(INDEX([1]Costos!$M$12:$O$12,MATCH(C24&amp;$A$3,[1]Costos!$M$5:$O$5&amp;[1]Costos!$L$12,0))," ")</f>
        <v xml:space="preserve"> </v>
      </c>
      <c r="K24" s="420" t="str" cm="1">
        <f t="array" ref="K24">+IFERROR(INDEX('Prevención Daño Ant'!$Q$11:$Q$11,MATCH(C24&amp;$A$3,'Prevención Daño Ant'!$Q$5:$Q$5&amp;'Prevención Daño Ant'!$L$11,0))," ")</f>
        <v xml:space="preserve"> </v>
      </c>
      <c r="L24" s="416"/>
      <c r="M24" s="420" t="str">
        <f>+IFERROR(INDEX('[1]Integración SI'!$M$10:$P$10,MATCH(C24&amp;$A$3,'[1]Integración SI'!$M$5:$P$5&amp;'[1]Integración SI'!$L$10,0))," ")</f>
        <v xml:space="preserve"> </v>
      </c>
      <c r="N24" s="420" t="str">
        <f>+IFERROR(INDEX('[1]Construcción-Adecuación'!$M$12:$O$12,MATCH(C24&amp;$A$3,'[1]Construcción-Adecuación'!$M$5:$O$5&amp;'[1]Construcción-Adecuación'!$L$12,0))," ")</f>
        <v xml:space="preserve"> </v>
      </c>
      <c r="O24" s="420" t="str">
        <f>+IFERROR(INDEX('[1]Gestión Tecnología'!$M$10:$P$10,MATCH(C24&amp;$A$3,'[1]Gestión Tecnología'!$M$5:$P$5&amp;'[1]Gestión Tecnología'!$L$10,0))," ")</f>
        <v xml:space="preserve"> </v>
      </c>
      <c r="P24" s="420" t="str">
        <f>+IFERROR(INDEX([1]PEGITH!$M$16:$T$16,MATCH(C24&amp;$A$3,[1]PEGITH!$M$5:$T$5&amp;[1]PEGITH!$L$16,0))," ")</f>
        <v xml:space="preserve"> </v>
      </c>
      <c r="Q24" s="420" t="str">
        <f>+IFERROR(INDEX('[1]ISO 140012015'!$M$8:$O$8,MATCH(C24&amp;$A$3,'[1]ISO 140012015'!$M$5:$O$5&amp;'[1]ISO 140012015'!$L$8,0))," ")</f>
        <v xml:space="preserve"> </v>
      </c>
      <c r="R24" s="420" t="str">
        <f>+IFERROR(INDEX('[1]ISO 450012018'!$M$8:$O$8,MATCH(C24&amp;$A$3,'[1]ISO 450012018'!$M$5:$O$5&amp;'[1]ISO 450012018'!$L$8,0))," ")</f>
        <v xml:space="preserve"> </v>
      </c>
      <c r="S24" s="420" t="str">
        <f>+IFERROR(INDEX('[1]ISO 90012015'!$M$8:$O$8,MATCH(C24&amp;$A$3,'[1]ISO 90012015'!$M$5:$O$5&amp;'[1]ISO 90012015'!$L$8,0))," ")</f>
        <v xml:space="preserve"> </v>
      </c>
      <c r="T24" s="420" t="str">
        <f>+IFERROR(INDEX([1]BPE!$M$8:$O$8,MATCH(C24&amp;$A$3,[1]BPE!$M$5:$O$5&amp;[1]BPE!$L$8,0))," ")</f>
        <v xml:space="preserve"> </v>
      </c>
      <c r="U24" s="420" t="str">
        <f>+IFERROR(INDEX([1]BPM!$M$8:$O$8,MATCH(C24&amp;$A$3,[1]BPM!$M$5:$O$5&amp;[1]BPM!$L$8,0))," ")</f>
        <v xml:space="preserve"> </v>
      </c>
      <c r="V24" s="420" t="str">
        <f>+IFERROR(INDEX('[1]Gestion Investigación'!$M$11:$O$11,MATCH(C24&amp;$A$3,'[1]Gestion Investigación'!$M$5:$O$5&amp;'[1]Gestion Investigación'!$L$11,0))," ")</f>
        <v xml:space="preserve"> </v>
      </c>
      <c r="W24" s="420" t="str">
        <f>+IFERROR(INDEX('[1]Líneas Investigación'!$M$8:$O$8,MATCH(C24&amp;$A$3,'[1]Líneas Investigación'!$M$5:$O$5&amp;'[1]Líneas Investigación'!$L$8,0))," ")</f>
        <v xml:space="preserve"> </v>
      </c>
      <c r="X24" s="420" t="str">
        <f>+IFERROR(INDEX([1]Congresos!$M$8:$O$8,MATCH(C24&amp;$A$3,[1]Congresos!$M$5:$O$5&amp;[1]Congresos!$L$8,0))," ")</f>
        <v xml:space="preserve"> </v>
      </c>
      <c r="Y24" s="420" t="str">
        <f>+IFERROR(INDEX('[1]Alianzas Estratégicas'!$M$8:$O$8,MATCH(C24&amp;$A$3,'[1]Alianzas Estratégicas'!$M$5:$O$5&amp;'[1]Alianzas Estratégicas'!$L$8,0))," ")</f>
        <v xml:space="preserve"> </v>
      </c>
      <c r="Z24" s="286" t="e">
        <f t="shared" si="4"/>
        <v>#DIV/0!</v>
      </c>
    </row>
    <row r="25" spans="3:26" x14ac:dyDescent="0.25">
      <c r="C25" s="419" t="s">
        <v>426</v>
      </c>
      <c r="D25" s="286" t="str" cm="1">
        <f t="array" ref="D25">+IFERROR(INDEX('Programa Humanizacion'!$S$12:$V$12,MATCH(C25&amp;$A$3,'Programa Humanizacion'!$S$5:$V$5&amp;'Programa Humanizacion'!$L$12,0)),"")</f>
        <v/>
      </c>
      <c r="E25" s="286" t="str" cm="1">
        <f t="array" ref="E25">+IFERROR(INDEX('Modelo Atención'!$W$8:$AD$8,MATCH(C25&amp;$A$3,'Modelo Atención'!$W$5:$AD$5&amp;'Modelo Atención'!$L$8,0))," ")</f>
        <v xml:space="preserve"> </v>
      </c>
      <c r="F25" s="416"/>
      <c r="G25" s="286" t="str" cm="1">
        <f t="array" ref="G25">+IFERROR(INDEX('Seguridad Paciente'!$AA$11:$AL$11,MATCH(C25&amp;$A$3,'Seguridad Paciente'!$AA$5:$AL$5&amp;'Seguridad Paciente'!$L$11,0))," ")</f>
        <v xml:space="preserve"> </v>
      </c>
      <c r="H25" s="416"/>
      <c r="I25" s="420" t="str" cm="1">
        <f t="array" ref="I25">+IFERROR(INDEX(PEGIF!$W$29:$AF$29,MATCH(C25&amp;$A$3,PEGIF!$W$5:$AC$5&amp;PEGIF!$L$29,0))," ")</f>
        <v xml:space="preserve"> </v>
      </c>
      <c r="J25" s="420" t="str">
        <f>+IFERROR(INDEX([1]Costos!$M$12:$O$12,MATCH(C25&amp;$A$3,[1]Costos!$M$5:$O$5&amp;[1]Costos!$L$12,0))," ")</f>
        <v xml:space="preserve"> </v>
      </c>
      <c r="K25" s="420" t="str" cm="1">
        <f t="array" ref="K25">+IFERROR(INDEX('Prevención Daño Ant'!$Q$11:$Q$11,MATCH(C25&amp;$A$3,'Prevención Daño Ant'!$Q$5:$Q$5&amp;'Prevención Daño Ant'!$L$11,0))," ")</f>
        <v xml:space="preserve"> </v>
      </c>
      <c r="L25" s="416"/>
      <c r="M25" s="420" t="str">
        <f>+IFERROR(INDEX('[1]Integración SI'!$M$10:$P$10,MATCH(C25&amp;$A$3,'[1]Integración SI'!$M$5:$P$5&amp;'[1]Integración SI'!$L$10,0))," ")</f>
        <v xml:space="preserve"> </v>
      </c>
      <c r="N25" s="420" t="str">
        <f>+IFERROR(INDEX('[1]Construcción-Adecuación'!$M$12:$O$12,MATCH(C25&amp;$A$3,'[1]Construcción-Adecuación'!$M$5:$O$5&amp;'[1]Construcción-Adecuación'!$L$12,0))," ")</f>
        <v xml:space="preserve"> </v>
      </c>
      <c r="O25" s="420" t="str">
        <f>+IFERROR(INDEX('[1]Gestión Tecnología'!$M$10:$P$10,MATCH(C25&amp;$A$3,'[1]Gestión Tecnología'!$M$5:$P$5&amp;'[1]Gestión Tecnología'!$L$10,0))," ")</f>
        <v xml:space="preserve"> </v>
      </c>
      <c r="P25" s="420" t="str">
        <f>+IFERROR(INDEX([1]PEGITH!$M$16:$T$16,MATCH(C25&amp;$A$3,[1]PEGITH!$M$5:$T$5&amp;[1]PEGITH!$L$16,0))," ")</f>
        <v xml:space="preserve"> </v>
      </c>
      <c r="Q25" s="420" t="str">
        <f>+IFERROR(INDEX('[1]ISO 140012015'!$M$8:$O$8,MATCH(C25&amp;$A$3,'[1]ISO 140012015'!$M$5:$O$5&amp;'[1]ISO 140012015'!$L$8,0))," ")</f>
        <v xml:space="preserve"> </v>
      </c>
      <c r="R25" s="420" t="str">
        <f>+IFERROR(INDEX('[1]ISO 450012018'!$M$8:$O$8,MATCH(C25&amp;$A$3,'[1]ISO 450012018'!$M$5:$O$5&amp;'[1]ISO 450012018'!$L$8,0))," ")</f>
        <v xml:space="preserve"> </v>
      </c>
      <c r="S25" s="420" t="str">
        <f>+IFERROR(INDEX('[1]ISO 90012015'!$M$8:$O$8,MATCH(C25&amp;$A$3,'[1]ISO 90012015'!$M$5:$O$5&amp;'[1]ISO 90012015'!$L$8,0))," ")</f>
        <v xml:space="preserve"> </v>
      </c>
      <c r="T25" s="420" t="str">
        <f>+IFERROR(INDEX([1]BPE!$M$8:$O$8,MATCH(C25&amp;$A$3,[1]BPE!$M$5:$O$5&amp;[1]BPE!$L$8,0))," ")</f>
        <v xml:space="preserve"> </v>
      </c>
      <c r="U25" s="420" t="str">
        <f>+IFERROR(INDEX([1]BPM!$M$8:$O$8,MATCH(C25&amp;$A$3,[1]BPM!$M$5:$O$5&amp;[1]BPM!$L$8,0))," ")</f>
        <v xml:space="preserve"> </v>
      </c>
      <c r="V25" s="420" t="str">
        <f>+IFERROR(INDEX('[1]Gestion Investigación'!$M$11:$O$11,MATCH(C25&amp;$A$3,'[1]Gestion Investigación'!$M$5:$O$5&amp;'[1]Gestion Investigación'!$L$11,0))," ")</f>
        <v xml:space="preserve"> </v>
      </c>
      <c r="W25" s="420" t="str">
        <f>+IFERROR(INDEX('[1]Líneas Investigación'!$M$8:$O$8,MATCH(C25&amp;$A$3,'[1]Líneas Investigación'!$M$5:$O$5&amp;'[1]Líneas Investigación'!$L$8,0))," ")</f>
        <v xml:space="preserve"> </v>
      </c>
      <c r="X25" s="420" t="str">
        <f>+IFERROR(INDEX([1]Congresos!$M$8:$O$8,MATCH(C25&amp;$A$3,[1]Congresos!$M$5:$O$5&amp;[1]Congresos!$L$8,0))," ")</f>
        <v xml:space="preserve"> </v>
      </c>
      <c r="Y25" s="420" t="str">
        <f>+IFERROR(INDEX('[1]Alianzas Estratégicas'!$M$8:$O$8,MATCH(C25&amp;$A$3,'[1]Alianzas Estratégicas'!$M$5:$O$5&amp;'[1]Alianzas Estratégicas'!$L$8,0))," ")</f>
        <v xml:space="preserve"> </v>
      </c>
      <c r="Z25" s="286" t="e">
        <f t="shared" si="4"/>
        <v>#DIV/0!</v>
      </c>
    </row>
    <row r="26" spans="3:26" x14ac:dyDescent="0.25">
      <c r="C26" s="419" t="s">
        <v>524</v>
      </c>
      <c r="D26" s="286" t="str" cm="1">
        <f t="array" ref="D26">+IFERROR(INDEX('Programa Humanizacion'!$S$12:$V$12,MATCH(C26&amp;$A$3,'Programa Humanizacion'!$S$5:$V$5&amp;'Programa Humanizacion'!$L$12,0)),"")</f>
        <v/>
      </c>
      <c r="E26" s="286" t="str" cm="1">
        <f t="array" ref="E26">+IFERROR(INDEX('Modelo Atención'!$W$8:$AD$8,MATCH(C26&amp;$A$3,'Modelo Atención'!$W$5:$AD$5&amp;'Modelo Atención'!$L$8,0))," ")</f>
        <v xml:space="preserve"> </v>
      </c>
      <c r="F26" s="416"/>
      <c r="G26" s="286" t="str" cm="1">
        <f t="array" ref="G26">+IFERROR(INDEX('Seguridad Paciente'!$AA$11:$AL$11,MATCH(C26&amp;$A$3,'Seguridad Paciente'!$AA$5:$AL$5&amp;'Seguridad Paciente'!$L$11,0))," ")</f>
        <v xml:space="preserve"> </v>
      </c>
      <c r="H26" s="416"/>
      <c r="I26" s="420" t="str" cm="1">
        <f t="array" ref="I26">+IFERROR(INDEX(PEGIF!$W$29:$AF$29,MATCH(C26&amp;$A$3,PEGIF!$W$5:$AC$5&amp;PEGIF!$L$29,0))," ")</f>
        <v xml:space="preserve"> </v>
      </c>
      <c r="J26" s="420" t="str">
        <f>+IFERROR(INDEX([1]Costos!$M$12:$O$12,MATCH(C26&amp;$A$3,[1]Costos!$M$5:$O$5&amp;[1]Costos!$L$12,0))," ")</f>
        <v xml:space="preserve"> </v>
      </c>
      <c r="K26" s="420" t="str" cm="1">
        <f t="array" ref="K26">+IFERROR(INDEX('Prevención Daño Ant'!$Q$11:$Q$11,MATCH(C26&amp;$A$3,'Prevención Daño Ant'!$Q$5:$Q$5&amp;'Prevención Daño Ant'!$L$11,0))," ")</f>
        <v xml:space="preserve"> </v>
      </c>
      <c r="L26" s="416"/>
      <c r="M26" s="420" t="str">
        <f>+IFERROR(INDEX('[1]Integración SI'!$M$10:$P$10,MATCH(C26&amp;$A$3,'[1]Integración SI'!$M$5:$P$5&amp;'[1]Integración SI'!$L$10,0))," ")</f>
        <v xml:space="preserve"> </v>
      </c>
      <c r="N26" s="420" t="str">
        <f>+IFERROR(INDEX('[1]Construcción-Adecuación'!$M$12:$O$12,MATCH(C26&amp;$A$3,'[1]Construcción-Adecuación'!$M$5:$O$5&amp;'[1]Construcción-Adecuación'!$L$12,0))," ")</f>
        <v xml:space="preserve"> </v>
      </c>
      <c r="O26" s="420" t="str">
        <f>+IFERROR(INDEX('[1]Gestión Tecnología'!$M$10:$P$10,MATCH(C26&amp;$A$3,'[1]Gestión Tecnología'!$M$5:$P$5&amp;'[1]Gestión Tecnología'!$L$10,0))," ")</f>
        <v xml:space="preserve"> </v>
      </c>
      <c r="P26" s="286">
        <f t="array" ref="P26">+INDEX([1]PEGITH!$M$16:$T$16,MATCH(C26&amp;$A$3,[1]PEGITH!$M$5:$T$5&amp;[1]PEGITH!$L$16,0))</f>
        <v>1</v>
      </c>
      <c r="Q26" s="420" t="str">
        <f>+IFERROR(INDEX('[1]ISO 140012015'!$M$8:$O$8,MATCH(C26&amp;$A$3,'[1]ISO 140012015'!$M$5:$O$5&amp;'[1]ISO 140012015'!$L$8,0))," ")</f>
        <v xml:space="preserve"> </v>
      </c>
      <c r="R26" s="420" t="str">
        <f>+IFERROR(INDEX('[1]ISO 450012018'!$M$8:$O$8,MATCH(C26&amp;$A$3,'[1]ISO 450012018'!$M$5:$O$5&amp;'[1]ISO 450012018'!$L$8,0))," ")</f>
        <v xml:space="preserve"> </v>
      </c>
      <c r="S26" s="420" t="str">
        <f>+IFERROR(INDEX('[1]ISO 90012015'!$M$8:$O$8,MATCH(C26&amp;$A$3,'[1]ISO 90012015'!$M$5:$O$5&amp;'[1]ISO 90012015'!$L$8,0))," ")</f>
        <v xml:space="preserve"> </v>
      </c>
      <c r="T26" s="420" t="str">
        <f>+IFERROR(INDEX([1]BPE!$M$8:$O$8,MATCH(C26&amp;$A$3,[1]BPE!$M$5:$O$5&amp;[1]BPE!$L$8,0))," ")</f>
        <v xml:space="preserve"> </v>
      </c>
      <c r="U26" s="420" t="str">
        <f>+IFERROR(INDEX([1]BPM!$M$8:$O$8,MATCH(C26&amp;$A$3,[1]BPM!$M$5:$O$5&amp;[1]BPM!$L$8,0))," ")</f>
        <v xml:space="preserve"> </v>
      </c>
      <c r="V26" s="420" t="str">
        <f>+IFERROR(INDEX('[1]Gestion Investigación'!$M$11:$O$11,MATCH(C26&amp;$A$3,'[1]Gestion Investigación'!$M$5:$O$5&amp;'[1]Gestion Investigación'!$L$11,0))," ")</f>
        <v xml:space="preserve"> </v>
      </c>
      <c r="W26" s="420" t="str">
        <f>+IFERROR(INDEX('[1]Líneas Investigación'!$M$8:$O$8,MATCH(C26&amp;$A$3,'[1]Líneas Investigación'!$M$5:$O$5&amp;'[1]Líneas Investigación'!$L$8,0))," ")</f>
        <v xml:space="preserve"> </v>
      </c>
      <c r="X26" s="420" t="str">
        <f>+IFERROR(INDEX([1]Congresos!$M$8:$O$8,MATCH(C26&amp;$A$3,[1]Congresos!$M$5:$O$5&amp;[1]Congresos!$L$8,0))," ")</f>
        <v xml:space="preserve"> </v>
      </c>
      <c r="Y26" s="420" t="str">
        <f>+IFERROR(INDEX('[1]Alianzas Estratégicas'!$M$8:$O$8,MATCH(C26&amp;$A$3,'[1]Alianzas Estratégicas'!$M$5:$O$5&amp;'[1]Alianzas Estratégicas'!$L$8,0))," ")</f>
        <v xml:space="preserve"> </v>
      </c>
      <c r="Z26" s="286">
        <f t="shared" si="4"/>
        <v>1</v>
      </c>
    </row>
    <row r="27" spans="3:26" x14ac:dyDescent="0.25">
      <c r="C27" s="419" t="s">
        <v>251</v>
      </c>
      <c r="D27" s="286" t="str" cm="1">
        <f t="array" ref="D27">+IFERROR(INDEX('Programa Humanizacion'!$S$12:$V$12,MATCH(C27&amp;$A$3,'Programa Humanizacion'!$S$5:$V$5&amp;'Programa Humanizacion'!$L$12,0)),"")</f>
        <v/>
      </c>
      <c r="E27" s="286" t="str" cm="1">
        <f t="array" ref="E27">+IFERROR(INDEX('Modelo Atención'!$W$8:$AD$8,MATCH(C27&amp;$A$3,'Modelo Atención'!$W$5:$AD$5&amp;'Modelo Atención'!$L$8,0))," ")</f>
        <v xml:space="preserve"> </v>
      </c>
      <c r="F27" s="416"/>
      <c r="G27" s="286" t="str" cm="1">
        <f t="array" ref="G27">+IFERROR(INDEX('Seguridad Paciente'!$AA$11:$AL$11,MATCH(C27&amp;$A$3,'Seguridad Paciente'!$AA$5:$AL$5&amp;'Seguridad Paciente'!$L$11,0))," ")</f>
        <v xml:space="preserve"> </v>
      </c>
      <c r="H27" s="416"/>
      <c r="I27" s="420" t="str" cm="1">
        <f t="array" ref="I27">+IFERROR(INDEX(PEGIF!$W$29:$AF$29,MATCH(C27&amp;$A$3,PEGIF!$W$5:$AC$5&amp;PEGIF!$L$29,0))," ")</f>
        <v xml:space="preserve"> </v>
      </c>
      <c r="J27" s="420" t="str">
        <f>+IFERROR(INDEX([1]Costos!$M$12:$O$12,MATCH(C27&amp;$A$3,[1]Costos!$M$5:$O$5&amp;[1]Costos!$L$12,0))," ")</f>
        <v xml:space="preserve"> </v>
      </c>
      <c r="K27" s="420" t="str" cm="1">
        <f t="array" ref="K27">+IFERROR(INDEX('Prevención Daño Ant'!$Q$11:$Q$11,MATCH(C27&amp;$A$3,'Prevención Daño Ant'!$Q$5:$Q$5&amp;'Prevención Daño Ant'!$L$11,0))," ")</f>
        <v xml:space="preserve"> </v>
      </c>
      <c r="L27" s="416"/>
      <c r="M27" s="420" t="str">
        <f>+IFERROR(INDEX('[1]Integración SI'!$M$10:$P$10,MATCH(C27&amp;$A$3,'[1]Integración SI'!$M$5:$P$5&amp;'[1]Integración SI'!$L$10,0))," ")</f>
        <v xml:space="preserve"> </v>
      </c>
      <c r="N27" s="420" t="str">
        <f>+IFERROR(INDEX('[1]Construcción-Adecuación'!$M$12:$O$12,MATCH(C27&amp;$A$3,'[1]Construcción-Adecuación'!$M$5:$O$5&amp;'[1]Construcción-Adecuación'!$L$12,0))," ")</f>
        <v xml:space="preserve"> </v>
      </c>
      <c r="O27" s="420" t="str">
        <f>+IFERROR(INDEX('[1]Gestión Tecnología'!$M$10:$P$10,MATCH(C27&amp;$A$3,'[1]Gestión Tecnología'!$M$5:$P$5&amp;'[1]Gestión Tecnología'!$L$10,0))," ")</f>
        <v xml:space="preserve"> </v>
      </c>
      <c r="P27" s="420" t="str">
        <f>+IFERROR(INDEX([1]PEGITH!$M$16:$T$16,MATCH(C27&amp;$A$3,[1]PEGITH!$M$5:$T$5&amp;[1]PEGITH!$L$16,0))," ")</f>
        <v xml:space="preserve"> </v>
      </c>
      <c r="Q27" s="420" t="str">
        <f>+IFERROR(INDEX('[1]ISO 140012015'!$M$8:$O$8,MATCH(C27&amp;$A$3,'[1]ISO 140012015'!$M$5:$O$5&amp;'[1]ISO 140012015'!$L$8,0))," ")</f>
        <v xml:space="preserve"> </v>
      </c>
      <c r="R27" s="420" t="str">
        <f>+IFERROR(INDEX('[1]ISO 450012018'!$M$8:$O$8,MATCH(C27&amp;$A$3,'[1]ISO 450012018'!$M$5:$O$5&amp;'[1]ISO 450012018'!$L$8,0))," ")</f>
        <v xml:space="preserve"> </v>
      </c>
      <c r="S27" s="420" t="str">
        <f>+IFERROR(INDEX('[1]ISO 90012015'!$M$8:$O$8,MATCH(C27&amp;$A$3,'[1]ISO 90012015'!$M$5:$O$5&amp;'[1]ISO 90012015'!$L$8,0))," ")</f>
        <v xml:space="preserve"> </v>
      </c>
      <c r="T27" s="420" t="str">
        <f>+IFERROR(INDEX([1]BPE!$M$8:$O$8,MATCH(C27&amp;$A$3,[1]BPE!$M$5:$O$5&amp;[1]BPE!$L$8,0))," ")</f>
        <v xml:space="preserve"> </v>
      </c>
      <c r="U27" s="420" t="str">
        <f>+IFERROR(INDEX([1]BPM!$M$8:$O$8,MATCH(C27&amp;$A$3,[1]BPM!$M$5:$O$5&amp;[1]BPM!$L$8,0))," ")</f>
        <v xml:space="preserve"> </v>
      </c>
      <c r="V27" s="420" t="str">
        <f>+IFERROR(INDEX('[1]Gestion Investigación'!$M$11:$O$11,MATCH(C27&amp;$A$3,'[1]Gestion Investigación'!$M$5:$O$5&amp;'[1]Gestion Investigación'!$L$11,0))," ")</f>
        <v xml:space="preserve"> </v>
      </c>
      <c r="W27" s="420" t="str">
        <f>+IFERROR(INDEX('[1]Líneas Investigación'!$M$8:$O$8,MATCH(C27&amp;$A$3,'[1]Líneas Investigación'!$M$5:$O$5&amp;'[1]Líneas Investigación'!$L$8,0))," ")</f>
        <v xml:space="preserve"> </v>
      </c>
      <c r="X27" s="420" t="str">
        <f>+IFERROR(INDEX([1]Congresos!$M$8:$O$8,MATCH(C27&amp;$A$3,[1]Congresos!$M$5:$O$5&amp;[1]Congresos!$L$8,0))," ")</f>
        <v xml:space="preserve"> </v>
      </c>
      <c r="Y27" s="420" t="str">
        <f>+IFERROR(INDEX('[1]Alianzas Estratégicas'!$M$8:$O$8,MATCH(C27&amp;$A$3,'[1]Alianzas Estratégicas'!$M$5:$O$5&amp;'[1]Alianzas Estratégicas'!$L$8,0))," ")</f>
        <v xml:space="preserve"> </v>
      </c>
      <c r="Z27" s="286" t="e">
        <f>+AVERAGE(D27:Y27)</f>
        <v>#DIV/0!</v>
      </c>
    </row>
    <row r="28" spans="3:26" x14ac:dyDescent="0.25">
      <c r="C28" s="419" t="s">
        <v>252</v>
      </c>
      <c r="D28" s="286" t="str" cm="1">
        <f t="array" ref="D28">+IFERROR(INDEX('Programa Humanizacion'!$S$12:$V$12,MATCH(C28&amp;$A$3,'Programa Humanizacion'!$S$5:$V$5&amp;'Programa Humanizacion'!$L$12,0)),"")</f>
        <v/>
      </c>
      <c r="E28" s="286" t="str" cm="1">
        <f t="array" ref="E28">+IFERROR(INDEX('Modelo Atención'!$W$8:$AD$8,MATCH(C28&amp;$A$3,'Modelo Atención'!$W$5:$AD$5&amp;'Modelo Atención'!$L$8,0))," ")</f>
        <v xml:space="preserve"> </v>
      </c>
      <c r="F28" s="416"/>
      <c r="G28" s="286" t="str" cm="1">
        <f t="array" ref="G28">+IFERROR(INDEX('Seguridad Paciente'!$AA$11:$AL$11,MATCH(C28&amp;$A$3,'Seguridad Paciente'!$AA$5:$AL$5&amp;'Seguridad Paciente'!$L$11,0))," ")</f>
        <v xml:space="preserve"> </v>
      </c>
      <c r="H28" s="416"/>
      <c r="I28" s="420" t="str" cm="1">
        <f t="array" ref="I28">+IFERROR(INDEX(PEGIF!$W$29:$AF$29,MATCH(C28&amp;$A$3,PEGIF!$W$5:$AC$5&amp;PEGIF!$L$29,0))," ")</f>
        <v xml:space="preserve"> </v>
      </c>
      <c r="J28" s="420" t="str">
        <f>+IFERROR(INDEX([1]Costos!$M$12:$O$12,MATCH(C28&amp;$A$3,[1]Costos!$M$5:$O$5&amp;[1]Costos!$L$12,0))," ")</f>
        <v xml:space="preserve"> </v>
      </c>
      <c r="K28" s="420" t="str" cm="1">
        <f t="array" ref="K28">+IFERROR(INDEX('Prevención Daño Ant'!$Q$11:$Q$11,MATCH(C28&amp;$A$3,'Prevención Daño Ant'!$Q$5:$Q$5&amp;'Prevención Daño Ant'!$L$11,0))," ")</f>
        <v xml:space="preserve"> </v>
      </c>
      <c r="L28" s="416"/>
      <c r="M28" s="420" t="str">
        <f>+IFERROR(INDEX('[1]Integración SI'!$M$10:$P$10,MATCH(C28&amp;$A$3,'[1]Integración SI'!$M$5:$P$5&amp;'[1]Integración SI'!$L$10,0))," ")</f>
        <v xml:space="preserve"> </v>
      </c>
      <c r="N28" s="420" t="str">
        <f>+IFERROR(INDEX('[1]Construcción-Adecuación'!$M$12:$O$12,MATCH(C28&amp;$A$3,'[1]Construcción-Adecuación'!$M$5:$O$5&amp;'[1]Construcción-Adecuación'!$L$12,0))," ")</f>
        <v xml:space="preserve"> </v>
      </c>
      <c r="O28" s="420" t="str">
        <f>+IFERROR(INDEX('[1]Gestión Tecnología'!$M$10:$P$10,MATCH(C28&amp;$A$3,'[1]Gestión Tecnología'!$M$5:$P$5&amp;'[1]Gestión Tecnología'!$L$10,0))," ")</f>
        <v xml:space="preserve"> </v>
      </c>
      <c r="P28" s="420" t="str">
        <f>+IFERROR(INDEX([1]PEGITH!$M$16:$T$16,MATCH(C28&amp;$A$3,[1]PEGITH!$M$5:$T$5&amp;[1]PEGITH!$L$16,0))," ")</f>
        <v xml:space="preserve"> </v>
      </c>
      <c r="Q28" s="420" t="str">
        <f>+IFERROR(INDEX('[1]ISO 140012015'!$M$8:$O$8,MATCH(C28&amp;$A$3,'[1]ISO 140012015'!$M$5:$O$5&amp;'[1]ISO 140012015'!$L$8,0))," ")</f>
        <v xml:space="preserve"> </v>
      </c>
      <c r="R28" s="420" t="str">
        <f>+IFERROR(INDEX('[1]ISO 450012018'!$M$8:$O$8,MATCH(C28&amp;$A$3,'[1]ISO 450012018'!$M$5:$O$5&amp;'[1]ISO 450012018'!$L$8,0))," ")</f>
        <v xml:space="preserve"> </v>
      </c>
      <c r="S28" s="420" t="str">
        <f>+IFERROR(INDEX('[1]ISO 90012015'!$M$8:$O$8,MATCH(C28&amp;$A$3,'[1]ISO 90012015'!$M$5:$O$5&amp;'[1]ISO 90012015'!$L$8,0))," ")</f>
        <v xml:space="preserve"> </v>
      </c>
      <c r="T28" s="420" t="str">
        <f>+IFERROR(INDEX([1]BPE!$M$8:$O$8,MATCH(C28&amp;$A$3,[1]BPE!$M$5:$O$5&amp;[1]BPE!$L$8,0))," ")</f>
        <v xml:space="preserve"> </v>
      </c>
      <c r="U28" s="420" t="str">
        <f>+IFERROR(INDEX([1]BPM!$M$8:$O$8,MATCH(C28&amp;$A$3,[1]BPM!$M$5:$O$5&amp;[1]BPM!$L$8,0))," ")</f>
        <v xml:space="preserve"> </v>
      </c>
      <c r="V28" s="420" t="str">
        <f>+IFERROR(INDEX('[1]Gestion Investigación'!$M$11:$O$11,MATCH(C28&amp;$A$3,'[1]Gestion Investigación'!$M$5:$O$5&amp;'[1]Gestion Investigación'!$L$11,0))," ")</f>
        <v xml:space="preserve"> </v>
      </c>
      <c r="W28" s="420" t="str">
        <f>+IFERROR(INDEX('[1]Líneas Investigación'!$M$8:$O$8,MATCH(C28&amp;$A$3,'[1]Líneas Investigación'!$M$5:$O$5&amp;'[1]Líneas Investigación'!$L$8,0))," ")</f>
        <v xml:space="preserve"> </v>
      </c>
      <c r="X28" s="420" t="str">
        <f>+IFERROR(INDEX([1]Congresos!$M$8:$O$8,MATCH(C28&amp;$A$3,[1]Congresos!$M$5:$O$5&amp;[1]Congresos!$L$8,0))," ")</f>
        <v xml:space="preserve"> </v>
      </c>
      <c r="Y28" s="420" t="str">
        <f>+IFERROR(INDEX('[1]Alianzas Estratégicas'!$M$8:$O$8,MATCH(C28&amp;$A$3,'[1]Alianzas Estratégicas'!$M$5:$O$5&amp;'[1]Alianzas Estratégicas'!$L$8,0))," ")</f>
        <v xml:space="preserve"> </v>
      </c>
      <c r="Z28" s="286" t="e">
        <f t="shared" ref="Z28" si="5">+AVERAGE(D28:Y28)</f>
        <v>#DIV/0!</v>
      </c>
    </row>
    <row r="29" spans="3:26" x14ac:dyDescent="0.25">
      <c r="C29" s="419" t="s">
        <v>229</v>
      </c>
      <c r="D29" s="286" t="str" cm="1">
        <f t="array" ref="D29">+IFERROR(INDEX('Programa Humanizacion'!$S$12:$V$12,MATCH(C29&amp;$A$3,'Programa Humanizacion'!$S$5:$V$5&amp;'Programa Humanizacion'!$L$12,0)),"")</f>
        <v/>
      </c>
      <c r="E29" s="286" t="str" cm="1">
        <f t="array" ref="E29">+IFERROR(INDEX('Modelo Atención'!$W$8:$AD$8,MATCH(C29&amp;$A$3,'Modelo Atención'!$W$5:$AD$5&amp;'Modelo Atención'!$L$8,0))," ")</f>
        <v xml:space="preserve"> </v>
      </c>
      <c r="F29" s="416"/>
      <c r="G29" s="286" t="str" cm="1">
        <f t="array" ref="G29">+IFERROR(INDEX('Seguridad Paciente'!$AA$11:$AL$11,MATCH(C29&amp;$A$3,'Seguridad Paciente'!$AA$5:$AL$5&amp;'Seguridad Paciente'!$L$11,0))," ")</f>
        <v xml:space="preserve"> </v>
      </c>
      <c r="H29" s="416"/>
      <c r="I29" s="420" t="str" cm="1">
        <f t="array" ref="I29">+IFERROR(INDEX(PEGIF!$W$29:$AF$29,MATCH(C29&amp;$A$3,PEGIF!$W$5:$AC$5&amp;PEGIF!$L$29,0))," ")</f>
        <v xml:space="preserve"> </v>
      </c>
      <c r="J29" s="420" t="str">
        <f>+IFERROR(INDEX([1]Costos!$M$12:$O$12,MATCH(C29&amp;$A$3,[1]Costos!$M$5:$O$5&amp;[1]Costos!$L$12,0))," ")</f>
        <v xml:space="preserve"> </v>
      </c>
      <c r="K29" s="420" t="str" cm="1">
        <f t="array" ref="K29">+IFERROR(INDEX('Prevención Daño Ant'!$Q$11:$Q$11,MATCH(C29&amp;$A$3,'Prevención Daño Ant'!$Q$5:$Q$5&amp;'Prevención Daño Ant'!$L$11,0))," ")</f>
        <v xml:space="preserve"> </v>
      </c>
      <c r="L29" s="416"/>
      <c r="M29" s="420" t="str">
        <f>+IFERROR(INDEX('[1]Integración SI'!$M$10:$P$10,MATCH(C29&amp;$A$3,'[1]Integración SI'!$M$5:$P$5&amp;'[1]Integración SI'!$L$10,0))," ")</f>
        <v xml:space="preserve"> </v>
      </c>
      <c r="N29" s="420" t="str">
        <f>+IFERROR(INDEX('[1]Construcción-Adecuación'!$M$12:$O$12,MATCH(C29&amp;$A$3,'[1]Construcción-Adecuación'!$M$5:$O$5&amp;'[1]Construcción-Adecuación'!$L$12,0))," ")</f>
        <v xml:space="preserve"> </v>
      </c>
      <c r="O29" s="420" t="str">
        <f>+IFERROR(INDEX('[1]Gestión Tecnología'!$M$10:$P$10,MATCH(C29&amp;$A$3,'[1]Gestión Tecnología'!$M$5:$P$5&amp;'[1]Gestión Tecnología'!$L$10,0))," ")</f>
        <v xml:space="preserve"> </v>
      </c>
      <c r="P29" s="420" t="str">
        <f>+IFERROR(INDEX([1]PEGITH!$M$16:$T$16,MATCH(C29&amp;$A$3,[1]PEGITH!$M$5:$T$5&amp;[1]PEGITH!$L$16,0))," ")</f>
        <v xml:space="preserve"> </v>
      </c>
      <c r="Q29" s="420" t="str">
        <f>+IFERROR(INDEX('[1]ISO 140012015'!$M$8:$O$8,MATCH(C29&amp;$A$3,'[1]ISO 140012015'!$M$5:$O$5&amp;'[1]ISO 140012015'!$L$8,0))," ")</f>
        <v xml:space="preserve"> </v>
      </c>
      <c r="R29" s="420" t="str">
        <f>+IFERROR(INDEX('[1]ISO 450012018'!$M$8:$O$8,MATCH(C29&amp;$A$3,'[1]ISO 450012018'!$M$5:$O$5&amp;'[1]ISO 450012018'!$L$8,0))," ")</f>
        <v xml:space="preserve"> </v>
      </c>
      <c r="S29" s="420" t="str">
        <f>+IFERROR(INDEX('[1]ISO 90012015'!$M$8:$O$8,MATCH(C29&amp;$A$3,'[1]ISO 90012015'!$M$5:$O$5&amp;'[1]ISO 90012015'!$L$8,0))," ")</f>
        <v xml:space="preserve"> </v>
      </c>
      <c r="T29" s="420" t="str">
        <f>+IFERROR(INDEX([1]BPE!$M$8:$O$8,MATCH(C29&amp;$A$3,[1]BPE!$M$5:$O$5&amp;[1]BPE!$L$8,0))," ")</f>
        <v xml:space="preserve"> </v>
      </c>
      <c r="U29" s="420" t="str">
        <f>+IFERROR(INDEX([1]BPM!$M$8:$O$8,MATCH(C29&amp;$A$3,[1]BPM!$M$5:$O$5&amp;[1]BPM!$L$8,0))," ")</f>
        <v xml:space="preserve"> </v>
      </c>
      <c r="V29" s="420" t="str">
        <f>+IFERROR(INDEX('[1]Gestion Investigación'!$M$11:$O$11,MATCH(C29&amp;$A$3,'[1]Gestion Investigación'!$M$5:$O$5&amp;'[1]Gestion Investigación'!$L$11,0))," ")</f>
        <v xml:space="preserve"> </v>
      </c>
      <c r="W29" s="420" t="str">
        <f>+IFERROR(INDEX('[1]Líneas Investigación'!$M$8:$O$8,MATCH(C29&amp;$A$3,'[1]Líneas Investigación'!$M$5:$O$5&amp;'[1]Líneas Investigación'!$L$8,0))," ")</f>
        <v xml:space="preserve"> </v>
      </c>
      <c r="X29" s="420" t="str">
        <f>+IFERROR(INDEX([1]Congresos!$M$8:$O$8,MATCH(C29&amp;$A$3,[1]Congresos!$M$5:$O$5&amp;[1]Congresos!$L$8,0))," ")</f>
        <v xml:space="preserve"> </v>
      </c>
      <c r="Y29" s="420" t="str">
        <f>+IFERROR(INDEX('[1]Alianzas Estratégicas'!$M$8:$O$8,MATCH(C29&amp;$A$3,'[1]Alianzas Estratégicas'!$M$5:$O$5&amp;'[1]Alianzas Estratégicas'!$L$8,0))," ")</f>
        <v xml:space="preserve"> </v>
      </c>
      <c r="Z29" s="286" t="e">
        <f>+AVERAGE(D29:Y29)</f>
        <v>#DIV/0!</v>
      </c>
    </row>
    <row r="30" spans="3:26" x14ac:dyDescent="0.25">
      <c r="C30" s="419" t="s">
        <v>766</v>
      </c>
      <c r="D30" s="286" t="str" cm="1">
        <f t="array" ref="D30">+IFERROR(INDEX('Programa Humanizacion'!$S$12:$V$12,MATCH(C30&amp;$A$3,'Programa Humanizacion'!$S$5:$V$5&amp;'Programa Humanizacion'!$L$12,0)),"")</f>
        <v/>
      </c>
      <c r="E30" s="286" t="str" cm="1">
        <f t="array" ref="E30">+IFERROR(INDEX('Modelo Atención'!$W$8:$AD$8,MATCH(C30&amp;$A$3,'Modelo Atención'!$W$5:$AD$5&amp;'Modelo Atención'!$L$8,0))," ")</f>
        <v xml:space="preserve"> </v>
      </c>
      <c r="F30" s="416"/>
      <c r="G30" s="286" t="str" cm="1">
        <f t="array" ref="G30">+IFERROR(INDEX('Seguridad Paciente'!$AA$11:$AL$11,MATCH(C30&amp;$A$3,'Seguridad Paciente'!$AA$5:$AL$5&amp;'Seguridad Paciente'!$L$11,0))," ")</f>
        <v xml:space="preserve"> </v>
      </c>
      <c r="H30" s="416"/>
      <c r="I30" s="420" t="str" cm="1">
        <f t="array" ref="I30">+IFERROR(INDEX(PEGIF!$W$29:$AF$29,MATCH(C30&amp;$A$3,PEGIF!$W$5:$AC$5&amp;PEGIF!$L$29,0))," ")</f>
        <v xml:space="preserve"> </v>
      </c>
      <c r="J30" s="420" t="str">
        <f>+IFERROR(INDEX([1]Costos!$M$12:$O$12,MATCH(C30&amp;$A$3,[1]Costos!$M$5:$O$5&amp;[1]Costos!$L$12,0))," ")</f>
        <v xml:space="preserve"> </v>
      </c>
      <c r="K30" s="420" t="str" cm="1">
        <f t="array" ref="K30">+IFERROR(INDEX('Prevención Daño Ant'!$Q$11:$Q$11,MATCH(C30&amp;$A$3,'Prevención Daño Ant'!$Q$5:$Q$5&amp;'Prevención Daño Ant'!$L$11,0))," ")</f>
        <v xml:space="preserve"> </v>
      </c>
      <c r="L30" s="416"/>
      <c r="M30" s="420" t="str">
        <f>+IFERROR(INDEX('[1]Integración SI'!$M$10:$P$10,MATCH(C30&amp;$A$3,'[1]Integración SI'!$M$5:$P$5&amp;'[1]Integración SI'!$L$10,0))," ")</f>
        <v xml:space="preserve"> </v>
      </c>
      <c r="N30" s="420" t="str">
        <f>+IFERROR(INDEX('[1]Construcción-Adecuación'!$M$12:$O$12,MATCH(C30&amp;$A$3,'[1]Construcción-Adecuación'!$M$5:$O$5&amp;'[1]Construcción-Adecuación'!$L$12,0))," ")</f>
        <v xml:space="preserve"> </v>
      </c>
      <c r="O30" s="420" t="str">
        <f>+IFERROR(INDEX('[1]Gestión Tecnología'!$M$10:$P$10,MATCH(C30&amp;$A$3,'[1]Gestión Tecnología'!$M$5:$P$5&amp;'[1]Gestión Tecnología'!$L$10,0))," ")</f>
        <v xml:space="preserve"> </v>
      </c>
      <c r="P30" s="420" t="str">
        <f>+IFERROR(INDEX([1]PEGITH!$M$16:$T$16,MATCH(C30&amp;$A$3,[1]PEGITH!$M$5:$T$5&amp;[1]PEGITH!$L$16,0))," ")</f>
        <v xml:space="preserve"> </v>
      </c>
      <c r="Q30" s="420" t="str">
        <f>+IFERROR(INDEX('[1]ISO 140012015'!$M$8:$O$8,MATCH(C30&amp;$A$3,'[1]ISO 140012015'!$M$5:$O$5&amp;'[1]ISO 140012015'!$L$8,0))," ")</f>
        <v xml:space="preserve"> </v>
      </c>
      <c r="R30" s="420" t="str">
        <f>+IFERROR(INDEX('[1]ISO 450012018'!$M$8:$O$8,MATCH(C30&amp;$A$3,'[1]ISO 450012018'!$M$5:$O$5&amp;'[1]ISO 450012018'!$L$8,0))," ")</f>
        <v xml:space="preserve"> </v>
      </c>
      <c r="S30" s="420" t="str">
        <f>+IFERROR(INDEX('[1]ISO 90012015'!$M$8:$O$8,MATCH(C30&amp;$A$3,'[1]ISO 90012015'!$M$5:$O$5&amp;'[1]ISO 90012015'!$L$8,0))," ")</f>
        <v xml:space="preserve"> </v>
      </c>
      <c r="T30" s="420" t="str">
        <f>+IFERROR(INDEX([1]BPE!$M$8:$O$8,MATCH(C30&amp;$A$3,[1]BPE!$M$5:$O$5&amp;[1]BPE!$L$8,0))," ")</f>
        <v xml:space="preserve"> </v>
      </c>
      <c r="U30" s="420" t="str">
        <f>+IFERROR(INDEX([1]BPM!$M$8:$O$8,MATCH(C30&amp;$A$3,[1]BPM!$M$5:$O$5&amp;[1]BPM!$L$8,0))," ")</f>
        <v xml:space="preserve"> </v>
      </c>
      <c r="V30" s="420" t="str">
        <f>+IFERROR(INDEX('[1]Gestion Investigación'!$M$11:$O$11,MATCH(C30&amp;$A$3,'[1]Gestion Investigación'!$M$5:$O$5&amp;'[1]Gestion Investigación'!$L$11,0))," ")</f>
        <v xml:space="preserve"> </v>
      </c>
      <c r="W30" s="420" t="str">
        <f>+IFERROR(INDEX('[1]Líneas Investigación'!$M$8:$O$8,MATCH(C30&amp;$A$3,'[1]Líneas Investigación'!$M$5:$O$5&amp;'[1]Líneas Investigación'!$L$8,0))," ")</f>
        <v xml:space="preserve"> </v>
      </c>
      <c r="X30" s="420" t="str">
        <f>+IFERROR(INDEX([1]Congresos!$M$8:$O$8,MATCH(C30&amp;$A$3,[1]Congresos!$M$5:$O$5&amp;[1]Congresos!$L$8,0))," ")</f>
        <v xml:space="preserve"> </v>
      </c>
      <c r="Y30" s="420" t="str">
        <f>+IFERROR(INDEX('[1]Alianzas Estratégicas'!$M$8:$O$8,MATCH(C30&amp;$A$3,'[1]Alianzas Estratégicas'!$M$5:$O$5&amp;'[1]Alianzas Estratégicas'!$L$8,0))," ")</f>
        <v xml:space="preserve"> </v>
      </c>
      <c r="Z30" s="286" t="e">
        <f t="shared" ref="Z30:Z32" si="6">+AVERAGE(D30:Y30)</f>
        <v>#DIV/0!</v>
      </c>
    </row>
    <row r="31" spans="3:26" x14ac:dyDescent="0.25">
      <c r="C31" s="419" t="s">
        <v>498</v>
      </c>
      <c r="D31" s="286" t="str" cm="1">
        <f t="array" ref="D31">+IFERROR(INDEX('Programa Humanizacion'!$S$12:$V$12,MATCH(C31&amp;$A$3,'Programa Humanizacion'!$S$5:$V$5&amp;'Programa Humanizacion'!$L$12,0)),"")</f>
        <v/>
      </c>
      <c r="E31" s="286" t="str" cm="1">
        <f t="array" ref="E31">+IFERROR(INDEX('Modelo Atención'!$W$8:$AD$8,MATCH(C31&amp;$A$3,'Modelo Atención'!$W$5:$AD$5&amp;'Modelo Atención'!$L$8,0))," ")</f>
        <v xml:space="preserve"> </v>
      </c>
      <c r="F31" s="416"/>
      <c r="G31" s="286" t="str" cm="1">
        <f t="array" ref="G31">+IFERROR(INDEX('Seguridad Paciente'!$AA$11:$AL$11,MATCH(C31&amp;$A$3,'Seguridad Paciente'!$AA$5:$AL$5&amp;'Seguridad Paciente'!$L$11,0))," ")</f>
        <v xml:space="preserve"> </v>
      </c>
      <c r="H31" s="416"/>
      <c r="I31" s="420" t="str" cm="1">
        <f t="array" ref="I31">+IFERROR(INDEX(PEGIF!$W$29:$AF$29,MATCH(C31&amp;$A$3,PEGIF!$W$5:$AC$5&amp;PEGIF!$L$29,0))," ")</f>
        <v xml:space="preserve"> </v>
      </c>
      <c r="J31" s="420" t="str">
        <f>+IFERROR(INDEX([1]Costos!$M$12:$O$12,MATCH(C31&amp;$A$3,[1]Costos!$M$5:$O$5&amp;[1]Costos!$L$12,0))," ")</f>
        <v xml:space="preserve"> </v>
      </c>
      <c r="K31" s="420" t="str" cm="1">
        <f t="array" ref="K31">+IFERROR(INDEX('Prevención Daño Ant'!$Q$11:$Q$11,MATCH(C31&amp;$A$3,'Prevención Daño Ant'!$Q$5:$Q$5&amp;'Prevención Daño Ant'!$L$11,0))," ")</f>
        <v xml:space="preserve"> </v>
      </c>
      <c r="L31" s="416"/>
      <c r="M31" s="420" t="str">
        <f t="array" ref="M31">+INDEX('[1]Integración SI'!$M$10:$P$10,MATCH(C31&amp;$A$3,'[1]Integración SI'!$M$5:$P$5&amp;'[1]Integración SI'!$L$10,0))</f>
        <v>-</v>
      </c>
      <c r="N31" s="420" t="str">
        <f>+IFERROR(INDEX('[1]Construcción-Adecuación'!$M$12:$O$12,MATCH(C31&amp;$A$3,'[1]Construcción-Adecuación'!$M$5:$O$5&amp;'[1]Construcción-Adecuación'!$L$12,0))," ")</f>
        <v xml:space="preserve"> </v>
      </c>
      <c r="O31" s="420" t="str">
        <f>+IFERROR(INDEX('[1]Gestión Tecnología'!$M$10:$P$10,MATCH(C31&amp;$A$3,'[1]Gestión Tecnología'!$M$5:$P$5&amp;'[1]Gestión Tecnología'!$L$10,0))," ")</f>
        <v xml:space="preserve"> </v>
      </c>
      <c r="P31" s="286">
        <f t="array" ref="P31">+INDEX([1]PEGITH!$M$16:$T$16,MATCH(C31&amp;$A$3,[1]PEGITH!$M$5:$T$5&amp;[1]PEGITH!$L$16,0))</f>
        <v>1</v>
      </c>
      <c r="Q31" s="420" t="str">
        <f>+IFERROR(INDEX('[1]ISO 140012015'!$M$8:$O$8,MATCH(C31&amp;$A$3,'[1]ISO 140012015'!$M$5:$O$5&amp;'[1]ISO 140012015'!$L$8,0))," ")</f>
        <v xml:space="preserve"> </v>
      </c>
      <c r="R31" s="420" t="str">
        <f>+IFERROR(INDEX('[1]ISO 450012018'!$M$8:$O$8,MATCH(C31&amp;$A$3,'[1]ISO 450012018'!$M$5:$O$5&amp;'[1]ISO 450012018'!$L$8,0))," ")</f>
        <v xml:space="preserve"> </v>
      </c>
      <c r="S31" s="420" t="str">
        <f>+IFERROR(INDEX('[1]ISO 90012015'!$M$8:$O$8,MATCH(C31&amp;$A$3,'[1]ISO 90012015'!$M$5:$O$5&amp;'[1]ISO 90012015'!$L$8,0))," ")</f>
        <v xml:space="preserve"> </v>
      </c>
      <c r="T31" s="420" t="str">
        <f>+IFERROR(INDEX([1]BPE!$M$8:$O$8,MATCH(C31&amp;$A$3,[1]BPE!$M$5:$O$5&amp;[1]BPE!$L$8,0))," ")</f>
        <v xml:space="preserve"> </v>
      </c>
      <c r="U31" s="420" t="str">
        <f>+IFERROR(INDEX([1]BPM!$M$8:$O$8,MATCH(C31&amp;$A$3,[1]BPM!$M$5:$O$5&amp;[1]BPM!$L$8,0))," ")</f>
        <v xml:space="preserve"> </v>
      </c>
      <c r="V31" s="420" t="str">
        <f>+IFERROR(INDEX('[1]Gestion Investigación'!$M$11:$O$11,MATCH(C31&amp;$A$3,'[1]Gestion Investigación'!$M$5:$O$5&amp;'[1]Gestion Investigación'!$L$11,0))," ")</f>
        <v xml:space="preserve"> </v>
      </c>
      <c r="W31" s="420" t="str">
        <f>+IFERROR(INDEX('[1]Líneas Investigación'!$M$8:$O$8,MATCH(C31&amp;$A$3,'[1]Líneas Investigación'!$M$5:$O$5&amp;'[1]Líneas Investigación'!$L$8,0))," ")</f>
        <v xml:space="preserve"> </v>
      </c>
      <c r="X31" s="420" t="str">
        <f>+IFERROR(INDEX([1]Congresos!$M$8:$O$8,MATCH(C31&amp;$A$3,[1]Congresos!$M$5:$O$5&amp;[1]Congresos!$L$8,0))," ")</f>
        <v xml:space="preserve"> </v>
      </c>
      <c r="Y31" s="420" t="str">
        <f>+IFERROR(INDEX('[1]Alianzas Estratégicas'!$M$8:$O$8,MATCH(C31&amp;$A$3,'[1]Alianzas Estratégicas'!$M$5:$O$5&amp;'[1]Alianzas Estratégicas'!$L$8,0))," ")</f>
        <v xml:space="preserve"> </v>
      </c>
      <c r="Z31" s="286">
        <f t="shared" si="6"/>
        <v>1</v>
      </c>
    </row>
    <row r="32" spans="3:26" x14ac:dyDescent="0.25">
      <c r="C32" s="419" t="s">
        <v>254</v>
      </c>
      <c r="D32" s="286" t="str" cm="1">
        <f t="array" ref="D32">+IFERROR(INDEX('Programa Humanizacion'!$S$12:$V$12,MATCH(C32&amp;$A$3,'Programa Humanizacion'!$S$5:$V$5&amp;'Programa Humanizacion'!$L$12,0)),"")</f>
        <v/>
      </c>
      <c r="E32" s="286" t="str" cm="1">
        <f t="array" ref="E32">+IFERROR(INDEX('Modelo Atención'!$W$8:$AD$8,MATCH(C32&amp;$A$3,'Modelo Atención'!$W$5:$AD$5&amp;'Modelo Atención'!$L$8,0))," ")</f>
        <v xml:space="preserve"> </v>
      </c>
      <c r="F32" s="416"/>
      <c r="G32" s="286" t="str" cm="1">
        <f t="array" ref="G32">+IFERROR(INDEX('Seguridad Paciente'!$AA$11:$AL$11,MATCH(C32&amp;$A$3,'Seguridad Paciente'!$AA$5:$AL$5&amp;'Seguridad Paciente'!$L$11,0))," ")</f>
        <v xml:space="preserve"> </v>
      </c>
      <c r="H32" s="416"/>
      <c r="I32" s="420" t="str" cm="1">
        <f t="array" ref="I32">+IFERROR(INDEX(PEGIF!$W$29:$AF$29,MATCH(C32&amp;$A$3,PEGIF!$W$5:$AC$5&amp;PEGIF!$L$29,0))," ")</f>
        <v xml:space="preserve"> </v>
      </c>
      <c r="J32" s="420">
        <f t="array" ref="J32">+INDEX([1]Costos!$M$12:$O$12,MATCH(C32&amp;$A$3,[1]Costos!$M$5:$O$5&amp;[1]Costos!$L$12,0))</f>
        <v>0.79749999999999999</v>
      </c>
      <c r="K32" s="420" t="str" cm="1">
        <f t="array" ref="K32">+IFERROR(INDEX('Prevención Daño Ant'!$Q$11:$Q$11,MATCH(C32&amp;$A$3,'Prevención Daño Ant'!$Q$5:$Q$5&amp;'Prevención Daño Ant'!$L$11,0))," ")</f>
        <v xml:space="preserve"> </v>
      </c>
      <c r="L32" s="416"/>
      <c r="M32" s="420" t="str">
        <f>+IFERROR(INDEX('[1]Integración SI'!$M$10:$P$10,MATCH(C32&amp;$A$3,'[1]Integración SI'!$M$5:$P$5&amp;'[1]Integración SI'!$L$10,0))," ")</f>
        <v xml:space="preserve"> </v>
      </c>
      <c r="N32" s="420" t="str">
        <f>+IFERROR(INDEX('[1]Construcción-Adecuación'!$M$12:$O$12,MATCH(C32&amp;$A$3,'[1]Construcción-Adecuación'!$M$5:$O$5&amp;'[1]Construcción-Adecuación'!$L$12,0))," ")</f>
        <v xml:space="preserve"> </v>
      </c>
      <c r="O32" s="420" t="str">
        <f>+IFERROR(INDEX('[1]Gestión Tecnología'!$M$10:$P$10,MATCH(C32&amp;$A$3,'[1]Gestión Tecnología'!$M$5:$P$5&amp;'[1]Gestión Tecnología'!$L$10,0))," ")</f>
        <v xml:space="preserve"> </v>
      </c>
      <c r="P32" s="420" t="str">
        <f>+IFERROR(INDEX([1]PEGITH!$M$16:$T$16,MATCH(C32&amp;$A$3,[1]PEGITH!$M$5:$T$5&amp;[1]PEGITH!$L$16,0))," ")</f>
        <v xml:space="preserve"> </v>
      </c>
      <c r="Q32" s="420" t="str">
        <f>+IFERROR(INDEX('[1]ISO 140012015'!$M$8:$O$8,MATCH(C32&amp;$A$3,'[1]ISO 140012015'!$M$5:$O$5&amp;'[1]ISO 140012015'!$L$8,0))," ")</f>
        <v xml:space="preserve"> </v>
      </c>
      <c r="R32" s="420" t="str">
        <f>+IFERROR(INDEX('[1]ISO 450012018'!$M$8:$O$8,MATCH(C32&amp;$A$3,'[1]ISO 450012018'!$M$5:$O$5&amp;'[1]ISO 450012018'!$L$8,0))," ")</f>
        <v xml:space="preserve"> </v>
      </c>
      <c r="S32" s="420" t="str">
        <f>+IFERROR(INDEX('[1]ISO 90012015'!$M$8:$O$8,MATCH(C32&amp;$A$3,'[1]ISO 90012015'!$M$5:$O$5&amp;'[1]ISO 90012015'!$L$8,0))," ")</f>
        <v xml:space="preserve"> </v>
      </c>
      <c r="T32" s="420" t="str">
        <f>+IFERROR(INDEX([1]BPE!$M$8:$O$8,MATCH(C32&amp;$A$3,[1]BPE!$M$5:$O$5&amp;[1]BPE!$L$8,0))," ")</f>
        <v xml:space="preserve"> </v>
      </c>
      <c r="U32" s="420" t="str">
        <f>+IFERROR(INDEX([1]BPM!$M$8:$O$8,MATCH(C32&amp;$A$3,[1]BPM!$M$5:$O$5&amp;[1]BPM!$L$8,0))," ")</f>
        <v xml:space="preserve"> </v>
      </c>
      <c r="V32" s="420" t="str">
        <f>+IFERROR(INDEX('[1]Gestion Investigación'!$M$11:$O$11,MATCH(C32&amp;$A$3,'[1]Gestion Investigación'!$M$5:$O$5&amp;'[1]Gestion Investigación'!$L$11,0))," ")</f>
        <v xml:space="preserve"> </v>
      </c>
      <c r="W32" s="420" t="str">
        <f>+IFERROR(INDEX('[1]Líneas Investigación'!$M$8:$O$8,MATCH(C32&amp;$A$3,'[1]Líneas Investigación'!$M$5:$O$5&amp;'[1]Líneas Investigación'!$L$8,0))," ")</f>
        <v xml:space="preserve"> </v>
      </c>
      <c r="X32" s="420" t="str">
        <f>+IFERROR(INDEX([1]Congresos!$M$8:$O$8,MATCH(C32&amp;$A$3,[1]Congresos!$M$5:$O$5&amp;[1]Congresos!$L$8,0))," ")</f>
        <v xml:space="preserve"> </v>
      </c>
      <c r="Y32" s="420" t="str">
        <f>+IFERROR(INDEX('[1]Alianzas Estratégicas'!$M$8:$O$8,MATCH(C32&amp;$A$3,'[1]Alianzas Estratégicas'!$M$5:$O$5&amp;'[1]Alianzas Estratégicas'!$L$8,0))," ")</f>
        <v xml:space="preserve"> </v>
      </c>
      <c r="Z32" s="286">
        <f t="shared" si="6"/>
        <v>0.79749999999999999</v>
      </c>
    </row>
    <row r="33" spans="3:26" x14ac:dyDescent="0.25">
      <c r="C33" s="419" t="s">
        <v>255</v>
      </c>
      <c r="D33" s="286" t="str" cm="1">
        <f t="array" ref="D33">+IFERROR(INDEX('Programa Humanizacion'!$S$12:$V$12,MATCH(C33&amp;$A$3,'Programa Humanizacion'!$S$5:$V$5&amp;'Programa Humanizacion'!$L$12,0)),"")</f>
        <v/>
      </c>
      <c r="E33" s="286" t="str" cm="1">
        <f t="array" ref="E33">+IFERROR(INDEX('Modelo Atención'!$W$8:$AD$8,MATCH(C33&amp;$A$3,'Modelo Atención'!$W$5:$AD$5&amp;'Modelo Atención'!$L$8,0))," ")</f>
        <v xml:space="preserve"> </v>
      </c>
      <c r="F33" s="416"/>
      <c r="G33" s="286" t="str" cm="1">
        <f t="array" ref="G33">+IFERROR(INDEX('Seguridad Paciente'!$AA$11:$AL$11,MATCH(C33&amp;$A$3,'Seguridad Paciente'!$AA$5:$AL$5&amp;'Seguridad Paciente'!$L$11,0))," ")</f>
        <v xml:space="preserve"> </v>
      </c>
      <c r="H33" s="416"/>
      <c r="I33" s="420" t="str" cm="1">
        <f t="array" ref="I33">+IFERROR(INDEX(PEGIF!$W$29:$AF$29,MATCH(C33&amp;$A$3,PEGIF!$W$5:$AC$5&amp;PEGIF!$L$29,0))," ")</f>
        <v xml:space="preserve"> </v>
      </c>
      <c r="J33" s="420" t="str">
        <f>+IFERROR(INDEX([1]Costos!$M$12:$O$12,MATCH(C33&amp;$A$3,[1]Costos!$M$5:$O$5&amp;[1]Costos!$L$12,0))," ")</f>
        <v xml:space="preserve"> </v>
      </c>
      <c r="K33" s="420" t="str" cm="1">
        <f t="array" ref="K33">+IFERROR(INDEX('Prevención Daño Ant'!$Q$11:$Q$11,MATCH(C33&amp;$A$3,'Prevención Daño Ant'!$Q$5:$Q$5&amp;'Prevención Daño Ant'!$L$11,0))," ")</f>
        <v xml:space="preserve"> </v>
      </c>
      <c r="L33" s="416"/>
      <c r="M33" s="420" t="str">
        <f>+IFERROR(INDEX('[1]Integración SI'!$M$10:$P$10,MATCH(C33&amp;$A$3,'[1]Integración SI'!$M$5:$P$5&amp;'[1]Integración SI'!$L$10,0))," ")</f>
        <v xml:space="preserve"> </v>
      </c>
      <c r="N33" s="420" t="str">
        <f>+IFERROR(INDEX('[1]Construcción-Adecuación'!$M$12:$O$12,MATCH(C33&amp;$A$3,'[1]Construcción-Adecuación'!$M$5:$O$5&amp;'[1]Construcción-Adecuación'!$L$12,0))," ")</f>
        <v xml:space="preserve"> </v>
      </c>
      <c r="O33" s="420" t="str">
        <f>+IFERROR(INDEX('[1]Gestión Tecnología'!$M$10:$P$10,MATCH(C33&amp;$A$3,'[1]Gestión Tecnología'!$M$5:$P$5&amp;'[1]Gestión Tecnología'!$L$10,0))," ")</f>
        <v xml:space="preserve"> </v>
      </c>
      <c r="P33" s="420" t="str">
        <f>+IFERROR(INDEX([1]PEGITH!$M$16:$T$16,MATCH(C33&amp;$A$3,[1]PEGITH!$M$5:$T$5&amp;[1]PEGITH!$L$16,0))," ")</f>
        <v xml:space="preserve"> </v>
      </c>
      <c r="Q33" s="420" t="str">
        <f>+IFERROR(INDEX('[1]ISO 140012015'!$M$8:$O$8,MATCH(C33&amp;$A$3,'[1]ISO 140012015'!$M$5:$O$5&amp;'[1]ISO 140012015'!$L$8,0))," ")</f>
        <v xml:space="preserve"> </v>
      </c>
      <c r="R33" s="420" t="str">
        <f>+IFERROR(INDEX('[1]ISO 450012018'!$M$8:$O$8,MATCH(C33&amp;$A$3,'[1]ISO 450012018'!$M$5:$O$5&amp;'[1]ISO 450012018'!$L$8,0))," ")</f>
        <v xml:space="preserve"> </v>
      </c>
      <c r="S33" s="420" t="str">
        <f>+IFERROR(INDEX('[1]ISO 90012015'!$M$8:$O$8,MATCH(C33&amp;$A$3,'[1]ISO 90012015'!$M$5:$O$5&amp;'[1]ISO 90012015'!$L$8,0))," ")</f>
        <v xml:space="preserve"> </v>
      </c>
      <c r="T33" s="420" t="str">
        <f>+IFERROR(INDEX([1]BPE!$M$8:$O$8,MATCH(C33&amp;$A$3,[1]BPE!$M$5:$O$5&amp;[1]BPE!$L$8,0))," ")</f>
        <v xml:space="preserve"> </v>
      </c>
      <c r="U33" s="420" t="str">
        <f>+IFERROR(INDEX([1]BPM!$M$8:$O$8,MATCH(C33&amp;$A$3,[1]BPM!$M$5:$O$5&amp;[1]BPM!$L$8,0))," ")</f>
        <v xml:space="preserve"> </v>
      </c>
      <c r="V33" s="420" t="str">
        <f>+IFERROR(INDEX('[1]Gestion Investigación'!$M$11:$O$11,MATCH(C33&amp;$A$3,'[1]Gestion Investigación'!$M$5:$O$5&amp;'[1]Gestion Investigación'!$L$11,0))," ")</f>
        <v xml:space="preserve"> </v>
      </c>
      <c r="W33" s="420" t="str">
        <f>+IFERROR(INDEX('[1]Líneas Investigación'!$M$8:$O$8,MATCH(C33&amp;$A$3,'[1]Líneas Investigación'!$M$5:$O$5&amp;'[1]Líneas Investigación'!$L$8,0))," ")</f>
        <v xml:space="preserve"> </v>
      </c>
      <c r="X33" s="420" t="str">
        <f>+IFERROR(INDEX([1]Congresos!$M$8:$O$8,MATCH(C33&amp;$A$3,[1]Congresos!$M$5:$O$5&amp;[1]Congresos!$L$8,0))," ")</f>
        <v xml:space="preserve"> </v>
      </c>
      <c r="Y33" s="420" t="str">
        <f>+IFERROR(INDEX('[1]Alianzas Estratégicas'!$M$8:$O$8,MATCH(C33&amp;$A$3,'[1]Alianzas Estratégicas'!$M$5:$O$5&amp;'[1]Alianzas Estratégicas'!$L$8,0))," ")</f>
        <v xml:space="preserve"> </v>
      </c>
      <c r="Z33" s="286" t="e">
        <f>+AVERAGE(D33:Y33)</f>
        <v>#DIV/0!</v>
      </c>
    </row>
    <row r="34" spans="3:26" ht="22.5" x14ac:dyDescent="0.25">
      <c r="C34" s="419" t="s">
        <v>256</v>
      </c>
      <c r="D34" s="286" t="str" cm="1">
        <f t="array" ref="D34">+IFERROR(INDEX('Programa Humanizacion'!$S$12:$V$12,MATCH(C34&amp;$A$3,'Programa Humanizacion'!$S$5:$V$5&amp;'Programa Humanizacion'!$L$12,0)),"")</f>
        <v/>
      </c>
      <c r="E34" s="286" t="str" cm="1">
        <f t="array" ref="E34">+IFERROR(INDEX('Modelo Atención'!$W$8:$AD$8,MATCH(C34&amp;$A$3,'Modelo Atención'!$W$5:$AD$5&amp;'Modelo Atención'!$L$8,0))," ")</f>
        <v xml:space="preserve"> </v>
      </c>
      <c r="F34" s="416"/>
      <c r="G34" s="286" t="str" cm="1">
        <f t="array" ref="G34">+IFERROR(INDEX('Seguridad Paciente'!$AA$11:$AL$11,MATCH(C34&amp;$A$3,'Seguridad Paciente'!$AA$5:$AL$5&amp;'Seguridad Paciente'!$L$11,0))," ")</f>
        <v xml:space="preserve"> </v>
      </c>
      <c r="H34" s="416"/>
      <c r="I34" s="420" t="str" cm="1">
        <f t="array" ref="I34">+IFERROR(INDEX(PEGIF!$W$29:$AF$29,MATCH(C34&amp;$A$3,PEGIF!$W$5:$AC$5&amp;PEGIF!$L$29,0))," ")</f>
        <v xml:space="preserve"> </v>
      </c>
      <c r="J34" s="420" t="str">
        <f>+IFERROR(INDEX([1]Costos!$M$12:$O$12,MATCH(C34&amp;$A$3,[1]Costos!$M$5:$O$5&amp;[1]Costos!$L$12,0))," ")</f>
        <v xml:space="preserve"> </v>
      </c>
      <c r="K34" s="420" t="str" cm="1">
        <f t="array" ref="K34">+IFERROR(INDEX('Prevención Daño Ant'!$Q$11:$Q$11,MATCH(C34&amp;$A$3,'Prevención Daño Ant'!$Q$5:$Q$5&amp;'Prevención Daño Ant'!$L$11,0))," ")</f>
        <v xml:space="preserve"> </v>
      </c>
      <c r="L34" s="416"/>
      <c r="M34" s="420">
        <f t="array" ref="M34">+INDEX('[1]Integración SI'!$M$10:$P$10,MATCH(C34&amp;$A$3,'[1]Integración SI'!$M$5:$P$5&amp;'[1]Integración SI'!$L$10,0))</f>
        <v>0.81666666666666676</v>
      </c>
      <c r="N34" s="420" t="str">
        <f>+IFERROR(INDEX('[1]Construcción-Adecuación'!$M$12:$O$12,MATCH(C34&amp;$A$3,'[1]Construcción-Adecuación'!$M$5:$O$5&amp;'[1]Construcción-Adecuación'!$L$12,0))," ")</f>
        <v xml:space="preserve"> </v>
      </c>
      <c r="O34" s="420" t="str">
        <f t="array" ref="O34">+INDEX('[1]Gestión Tecnología'!$M$10:$P$10,MATCH(C34&amp;$A$3,'[1]Gestión Tecnología'!$M$5:$P$5&amp;'[1]Gestión Tecnología'!$L$10,0))</f>
        <v>-</v>
      </c>
      <c r="P34" s="420" t="str">
        <f>+IFERROR(INDEX([1]PEGITH!$M$16:$T$16,MATCH(C34&amp;$A$3,[1]PEGITH!$M$5:$T$5&amp;[1]PEGITH!$L$16,0))," ")</f>
        <v xml:space="preserve"> </v>
      </c>
      <c r="Q34" s="420" t="str">
        <f>+IFERROR(INDEX('[1]ISO 140012015'!$M$8:$O$8,MATCH(C34&amp;$A$3,'[1]ISO 140012015'!$M$5:$O$5&amp;'[1]ISO 140012015'!$L$8,0))," ")</f>
        <v xml:space="preserve"> </v>
      </c>
      <c r="R34" s="420" t="str">
        <f>+IFERROR(INDEX('[1]ISO 450012018'!$M$8:$O$8,MATCH(C34&amp;$A$3,'[1]ISO 450012018'!$M$5:$O$5&amp;'[1]ISO 450012018'!$L$8,0))," ")</f>
        <v xml:space="preserve"> </v>
      </c>
      <c r="S34" s="420" t="str">
        <f>+IFERROR(INDEX('[1]ISO 90012015'!$M$8:$O$8,MATCH(C34&amp;$A$3,'[1]ISO 90012015'!$M$5:$O$5&amp;'[1]ISO 90012015'!$L$8,0))," ")</f>
        <v xml:space="preserve"> </v>
      </c>
      <c r="T34" s="420" t="str">
        <f>+IFERROR(INDEX([1]BPE!$M$8:$O$8,MATCH(C34&amp;$A$3,[1]BPE!$M$5:$O$5&amp;[1]BPE!$L$8,0))," ")</f>
        <v xml:space="preserve"> </v>
      </c>
      <c r="U34" s="420" t="str">
        <f>+IFERROR(INDEX([1]BPM!$M$8:$O$8,MATCH(C34&amp;$A$3,[1]BPM!$M$5:$O$5&amp;[1]BPM!$L$8,0))," ")</f>
        <v xml:space="preserve"> </v>
      </c>
      <c r="V34" s="420" t="str">
        <f>+IFERROR(INDEX('[1]Gestion Investigación'!$M$11:$O$11,MATCH(C34&amp;$A$3,'[1]Gestion Investigación'!$M$5:$O$5&amp;'[1]Gestion Investigación'!$L$11,0))," ")</f>
        <v xml:space="preserve"> </v>
      </c>
      <c r="W34" s="420" t="str">
        <f>+IFERROR(INDEX('[1]Líneas Investigación'!$M$8:$O$8,MATCH(C34&amp;$A$3,'[1]Líneas Investigación'!$M$5:$O$5&amp;'[1]Líneas Investigación'!$L$8,0))," ")</f>
        <v xml:space="preserve"> </v>
      </c>
      <c r="X34" s="420" t="str">
        <f>+IFERROR(INDEX([1]Congresos!$M$8:$O$8,MATCH(C34&amp;$A$3,[1]Congresos!$M$5:$O$5&amp;[1]Congresos!$L$8,0))," ")</f>
        <v xml:space="preserve"> </v>
      </c>
      <c r="Y34" s="420" t="str">
        <f>+IFERROR(INDEX('[1]Alianzas Estratégicas'!$M$8:$O$8,MATCH(C34&amp;$A$3,'[1]Alianzas Estratégicas'!$M$5:$O$5&amp;'[1]Alianzas Estratégicas'!$L$8,0))," ")</f>
        <v xml:space="preserve"> </v>
      </c>
      <c r="Z34" s="286">
        <f t="shared" ref="Z34:Z38" si="7">+AVERAGE(D34:Y34)</f>
        <v>0.81666666666666676</v>
      </c>
    </row>
    <row r="35" spans="3:26" x14ac:dyDescent="0.25">
      <c r="C35" s="419" t="s">
        <v>257</v>
      </c>
      <c r="D35" s="286" t="str" cm="1">
        <f t="array" ref="D35">+IFERROR(INDEX('Programa Humanizacion'!$S$12:$V$12,MATCH(C35&amp;$A$3,'Programa Humanizacion'!$S$5:$V$5&amp;'Programa Humanizacion'!$L$12,0)),"")</f>
        <v/>
      </c>
      <c r="E35" s="286" t="str" cm="1">
        <f t="array" ref="E35">+IFERROR(INDEX('Modelo Atención'!$W$8:$AD$8,MATCH(C35&amp;$A$3,'Modelo Atención'!$W$5:$AD$5&amp;'Modelo Atención'!$L$8,0))," ")</f>
        <v xml:space="preserve"> </v>
      </c>
      <c r="F35" s="416"/>
      <c r="G35" s="286" t="str" cm="1">
        <f t="array" ref="G35">+IFERROR(INDEX('Seguridad Paciente'!$AA$11:$AL$11,MATCH(C35&amp;$A$3,'Seguridad Paciente'!$AA$5:$AL$5&amp;'Seguridad Paciente'!$L$11,0))," ")</f>
        <v xml:space="preserve"> </v>
      </c>
      <c r="H35" s="416"/>
      <c r="I35" s="420" t="str" cm="1">
        <f t="array" ref="I35">+IFERROR(INDEX(PEGIF!$W$29:$AF$29,MATCH(C35&amp;$A$3,PEGIF!$W$5:$AC$5&amp;PEGIF!$L$29,0))," ")</f>
        <v xml:space="preserve"> </v>
      </c>
      <c r="J35" s="420" t="str">
        <f>+IFERROR(INDEX([1]Costos!$M$12:$O$12,MATCH(C35&amp;$A$3,[1]Costos!$M$5:$O$5&amp;[1]Costos!$L$12,0))," ")</f>
        <v xml:space="preserve"> </v>
      </c>
      <c r="K35" s="420" t="str" cm="1">
        <f t="array" ref="K35">+IFERROR(INDEX('Prevención Daño Ant'!$Q$11:$Q$11,MATCH(C35&amp;$A$3,'Prevención Daño Ant'!$Q$5:$Q$5&amp;'Prevención Daño Ant'!$L$11,0))," ")</f>
        <v xml:space="preserve"> </v>
      </c>
      <c r="L35" s="416"/>
      <c r="M35" s="420" t="str">
        <f>+IFERROR(INDEX('[1]Integración SI'!$M$10:$P$10,MATCH(C35&amp;$A$3,'[1]Integración SI'!$M$5:$P$5&amp;'[1]Integración SI'!$L$10,0))," ")</f>
        <v xml:space="preserve"> </v>
      </c>
      <c r="N35" s="420" t="str">
        <f>+IFERROR(INDEX('[1]Construcción-Adecuación'!$M$12:$O$12,MATCH(C35&amp;$A$3,'[1]Construcción-Adecuación'!$M$5:$O$5&amp;'[1]Construcción-Adecuación'!$L$12,0))," ")</f>
        <v xml:space="preserve"> </v>
      </c>
      <c r="O35" s="420">
        <f t="array" ref="O35">+INDEX('[1]Gestión Tecnología'!$M$10:$P$10,MATCH(C35&amp;$A$3,'[1]Gestión Tecnología'!$M$5:$P$5&amp;'[1]Gestión Tecnología'!$L$10,0))</f>
        <v>0.84761904761904761</v>
      </c>
      <c r="P35" s="420" t="str">
        <f>+IFERROR(INDEX([1]PEGITH!$M$16:$T$16,MATCH(C35&amp;$A$3,[1]PEGITH!$M$5:$T$5&amp;[1]PEGITH!$L$16,0))," ")</f>
        <v xml:space="preserve"> </v>
      </c>
      <c r="Q35" s="420" t="str">
        <f>+IFERROR(INDEX('[1]ISO 140012015'!$M$8:$O$8,MATCH(C35&amp;$A$3,'[1]ISO 140012015'!$M$5:$O$5&amp;'[1]ISO 140012015'!$L$8,0))," ")</f>
        <v xml:space="preserve"> </v>
      </c>
      <c r="R35" s="420" t="str">
        <f>+IFERROR(INDEX('[1]ISO 450012018'!$M$8:$O$8,MATCH(C35&amp;$A$3,'[1]ISO 450012018'!$M$5:$O$5&amp;'[1]ISO 450012018'!$L$8,0))," ")</f>
        <v xml:space="preserve"> </v>
      </c>
      <c r="S35" s="420" t="str">
        <f>+IFERROR(INDEX('[1]ISO 90012015'!$M$8:$O$8,MATCH(C35&amp;$A$3,'[1]ISO 90012015'!$M$5:$O$5&amp;'[1]ISO 90012015'!$L$8,0))," ")</f>
        <v xml:space="preserve"> </v>
      </c>
      <c r="T35" s="420" t="str">
        <f>+IFERROR(INDEX([1]BPE!$M$8:$O$8,MATCH(C35&amp;$A$3,[1]BPE!$M$5:$O$5&amp;[1]BPE!$L$8,0))," ")</f>
        <v xml:space="preserve"> </v>
      </c>
      <c r="U35" s="420" t="str">
        <f>+IFERROR(INDEX([1]BPM!$M$8:$O$8,MATCH(C35&amp;$A$3,[1]BPM!$M$5:$O$5&amp;[1]BPM!$L$8,0))," ")</f>
        <v xml:space="preserve"> </v>
      </c>
      <c r="V35" s="420" t="str">
        <f>+IFERROR(INDEX('[1]Gestion Investigación'!$M$11:$O$11,MATCH(C35&amp;$A$3,'[1]Gestion Investigación'!$M$5:$O$5&amp;'[1]Gestion Investigación'!$L$11,0))," ")</f>
        <v xml:space="preserve"> </v>
      </c>
      <c r="W35" s="420" t="str">
        <f>+IFERROR(INDEX('[1]Líneas Investigación'!$M$8:$O$8,MATCH(C35&amp;$A$3,'[1]Líneas Investigación'!$M$5:$O$5&amp;'[1]Líneas Investigación'!$L$8,0))," ")</f>
        <v xml:space="preserve"> </v>
      </c>
      <c r="X35" s="420" t="str">
        <f>+IFERROR(INDEX([1]Congresos!$M$8:$O$8,MATCH(C35&amp;$A$3,[1]Congresos!$M$5:$O$5&amp;[1]Congresos!$L$8,0))," ")</f>
        <v xml:space="preserve"> </v>
      </c>
      <c r="Y35" s="420" t="str">
        <f>+IFERROR(INDEX('[1]Alianzas Estratégicas'!$M$8:$O$8,MATCH(C35&amp;$A$3,'[1]Alianzas Estratégicas'!$M$5:$O$5&amp;'[1]Alianzas Estratégicas'!$L$8,0))," ")</f>
        <v xml:space="preserve"> </v>
      </c>
      <c r="Z35" s="286">
        <f t="shared" si="7"/>
        <v>0.84761904761904761</v>
      </c>
    </row>
    <row r="36" spans="3:26" x14ac:dyDescent="0.25">
      <c r="C36" s="419" t="s">
        <v>258</v>
      </c>
      <c r="D36" s="286" t="str" cm="1">
        <f t="array" ref="D36">+IFERROR(INDEX('Programa Humanizacion'!$S$12:$V$12,MATCH(C36&amp;$A$3,'Programa Humanizacion'!$S$5:$V$5&amp;'Programa Humanizacion'!$L$12,0)),"")</f>
        <v/>
      </c>
      <c r="E36" s="286" t="str" cm="1">
        <f t="array" ref="E36">+IFERROR(INDEX('Modelo Atención'!$W$8:$AD$8,MATCH(C36&amp;$A$3,'Modelo Atención'!$W$5:$AD$5&amp;'Modelo Atención'!$L$8,0))," ")</f>
        <v xml:space="preserve"> </v>
      </c>
      <c r="F36" s="416"/>
      <c r="G36" s="286" t="str" cm="1">
        <f t="array" ref="G36">+IFERROR(INDEX('Seguridad Paciente'!$AA$11:$AL$11,MATCH(C36&amp;$A$3,'Seguridad Paciente'!$AA$5:$AL$5&amp;'Seguridad Paciente'!$L$11,0))," ")</f>
        <v xml:space="preserve"> </v>
      </c>
      <c r="H36" s="416"/>
      <c r="I36" s="420" t="str" cm="1">
        <f t="array" ref="I36">+IFERROR(INDEX(PEGIF!$W$29:$AF$29,MATCH(C36&amp;$A$3,PEGIF!$W$5:$AC$5&amp;PEGIF!$L$29,0))," ")</f>
        <v xml:space="preserve"> </v>
      </c>
      <c r="J36" s="420" t="str">
        <f>+IFERROR(INDEX([1]Costos!$M$12:$O$12,MATCH(C36&amp;$A$3,[1]Costos!$M$5:$O$5&amp;[1]Costos!$L$12,0))," ")</f>
        <v xml:space="preserve"> </v>
      </c>
      <c r="K36" s="420" t="str" cm="1">
        <f t="array" ref="K36">+IFERROR(INDEX('Prevención Daño Ant'!$Q$11:$Q$11,MATCH(C36&amp;$A$3,'Prevención Daño Ant'!$Q$5:$Q$5&amp;'Prevención Daño Ant'!$L$11,0))," ")</f>
        <v xml:space="preserve"> </v>
      </c>
      <c r="L36" s="416"/>
      <c r="M36" s="420" t="str">
        <f>+IFERROR(INDEX('[1]Integración SI'!$M$10:$P$10,MATCH(C36&amp;$A$3,'[1]Integración SI'!$M$5:$P$5&amp;'[1]Integración SI'!$L$10,0))," ")</f>
        <v xml:space="preserve"> </v>
      </c>
      <c r="N36" s="420" t="str">
        <f>+IFERROR(INDEX('[1]Construcción-Adecuación'!$M$12:$O$12,MATCH(C36&amp;$A$3,'[1]Construcción-Adecuación'!$M$5:$O$5&amp;'[1]Construcción-Adecuación'!$L$12,0))," ")</f>
        <v xml:space="preserve"> </v>
      </c>
      <c r="O36" s="420" t="str">
        <f>+IFERROR(INDEX('[1]Gestión Tecnología'!$M$10:$P$10,MATCH(C36&amp;$A$3,'[1]Gestión Tecnología'!$M$5:$P$5&amp;'[1]Gestión Tecnología'!$L$10,0))," ")</f>
        <v xml:space="preserve"> </v>
      </c>
      <c r="P36" s="420" t="str">
        <f>+IFERROR(INDEX([1]PEGITH!$M$16:$T$16,MATCH(C36&amp;$A$3,[1]PEGITH!$M$5:$T$5&amp;[1]PEGITH!$L$16,0))," ")</f>
        <v xml:space="preserve"> </v>
      </c>
      <c r="Q36" s="420" t="str">
        <f>+IFERROR(INDEX('[1]ISO 140012015'!$M$8:$O$8,MATCH(C36&amp;$A$3,'[1]ISO 140012015'!$M$5:$O$5&amp;'[1]ISO 140012015'!$L$8,0))," ")</f>
        <v xml:space="preserve"> </v>
      </c>
      <c r="R36" s="420" t="str">
        <f>+IFERROR(INDEX('[1]ISO 450012018'!$M$8:$O$8,MATCH(C36&amp;$A$3,'[1]ISO 450012018'!$M$5:$O$5&amp;'[1]ISO 450012018'!$L$8,0))," ")</f>
        <v xml:space="preserve"> </v>
      </c>
      <c r="S36" s="420" t="str">
        <f>+IFERROR(INDEX('[1]ISO 90012015'!$M$8:$O$8,MATCH(C36&amp;$A$3,'[1]ISO 90012015'!$M$5:$O$5&amp;'[1]ISO 90012015'!$L$8,0))," ")</f>
        <v xml:space="preserve"> </v>
      </c>
      <c r="T36" s="420" t="str">
        <f>+IFERROR(INDEX([1]BPE!$M$8:$O$8,MATCH(C36&amp;$A$3,[1]BPE!$M$5:$O$5&amp;[1]BPE!$L$8,0))," ")</f>
        <v xml:space="preserve"> </v>
      </c>
      <c r="U36" s="420" t="str">
        <f>+IFERROR(INDEX([1]BPM!$M$8:$O$8,MATCH(C36&amp;$A$3,[1]BPM!$M$5:$O$5&amp;[1]BPM!$L$8,0))," ")</f>
        <v xml:space="preserve"> </v>
      </c>
      <c r="V36" s="420" t="str">
        <f>+IFERROR(INDEX('[1]Gestion Investigación'!$M$11:$O$11,MATCH(C36&amp;$A$3,'[1]Gestion Investigación'!$M$5:$O$5&amp;'[1]Gestion Investigación'!$L$11,0))," ")</f>
        <v xml:space="preserve"> </v>
      </c>
      <c r="W36" s="420" t="str">
        <f>+IFERROR(INDEX('[1]Líneas Investigación'!$M$8:$O$8,MATCH(C36&amp;$A$3,'[1]Líneas Investigación'!$M$5:$O$5&amp;'[1]Líneas Investigación'!$L$8,0))," ")</f>
        <v xml:space="preserve"> </v>
      </c>
      <c r="X36" s="420" t="str">
        <f>+IFERROR(INDEX([1]Congresos!$M$8:$O$8,MATCH(C36&amp;$A$3,[1]Congresos!$M$5:$O$5&amp;[1]Congresos!$L$8,0))," ")</f>
        <v xml:space="preserve"> </v>
      </c>
      <c r="Y36" s="420" t="str">
        <f>+IFERROR(INDEX('[1]Alianzas Estratégicas'!$M$8:$O$8,MATCH(C36&amp;$A$3,'[1]Alianzas Estratégicas'!$M$5:$O$5&amp;'[1]Alianzas Estratégicas'!$L$8,0))," ")</f>
        <v xml:space="preserve"> </v>
      </c>
      <c r="Z36" s="286" t="e">
        <f t="shared" si="7"/>
        <v>#DIV/0!</v>
      </c>
    </row>
    <row r="37" spans="3:26" x14ac:dyDescent="0.25">
      <c r="C37" s="419" t="s">
        <v>259</v>
      </c>
      <c r="D37" s="286" t="str" cm="1">
        <f t="array" ref="D37">+IFERROR(INDEX('Programa Humanizacion'!$S$12:$V$12,MATCH(C37&amp;$A$3,'Programa Humanizacion'!$S$5:$V$5&amp;'Programa Humanizacion'!$L$12,0)),"")</f>
        <v/>
      </c>
      <c r="E37" s="286" t="str" cm="1">
        <f t="array" ref="E37">+IFERROR(INDEX('Modelo Atención'!$W$8:$AD$8,MATCH(C37&amp;$A$3,'Modelo Atención'!$W$5:$AD$5&amp;'Modelo Atención'!$L$8,0))," ")</f>
        <v xml:space="preserve"> </v>
      </c>
      <c r="F37" s="416"/>
      <c r="G37" s="286" t="str" cm="1">
        <f t="array" ref="G37">+IFERROR(INDEX('Seguridad Paciente'!$AA$11:$AL$11,MATCH(C37&amp;$A$3,'Seguridad Paciente'!$AA$5:$AL$5&amp;'Seguridad Paciente'!$L$11,0))," ")</f>
        <v xml:space="preserve"> </v>
      </c>
      <c r="H37" s="416"/>
      <c r="I37" s="420" t="str" cm="1">
        <f t="array" ref="I37">+IFERROR(INDEX(PEGIF!$W$29:$AF$29,MATCH(C37&amp;$A$3,PEGIF!$W$5:$AC$5&amp;PEGIF!$L$29,0))," ")</f>
        <v xml:space="preserve"> </v>
      </c>
      <c r="J37" s="420" t="str">
        <f>+IFERROR(INDEX([1]Costos!$M$12:$O$12,MATCH(C37&amp;$A$3,[1]Costos!$M$5:$O$5&amp;[1]Costos!$L$12,0))," ")</f>
        <v xml:space="preserve"> </v>
      </c>
      <c r="K37" s="420" t="str" cm="1">
        <f t="array" ref="K37">+IFERROR(INDEX('Prevención Daño Ant'!$Q$11:$Q$11,MATCH(C37&amp;$A$3,'Prevención Daño Ant'!$Q$5:$Q$5&amp;'Prevención Daño Ant'!$L$11,0))," ")</f>
        <v xml:space="preserve"> </v>
      </c>
      <c r="L37" s="416"/>
      <c r="M37" s="420" t="str">
        <f>+IFERROR(INDEX('[1]Integración SI'!$M$10:$P$10,MATCH(C37&amp;$A$3,'[1]Integración SI'!$M$5:$P$5&amp;'[1]Integración SI'!$L$10,0))," ")</f>
        <v xml:space="preserve"> </v>
      </c>
      <c r="N37" s="420">
        <f t="array" ref="N37">+INDEX('[1]Construcción-Adecuación'!$M$12:$O$12,MATCH(C37&amp;$A$3,'[1]Construcción-Adecuación'!$M$5:$O$5&amp;'[1]Construcción-Adecuación'!$L$12,0))</f>
        <v>0.66237999999999997</v>
      </c>
      <c r="O37" s="420" t="str">
        <f t="array" ref="O37">+INDEX('[1]Gestión Tecnología'!$M$10:$P$10,MATCH(C37&amp;$A$3,'[1]Gestión Tecnología'!$M$5:$P$5&amp;'[1]Gestión Tecnología'!$L$10,0))</f>
        <v>-</v>
      </c>
      <c r="P37" s="420" t="str">
        <f>+IFERROR(INDEX([1]PEGITH!$M$16:$T$16,MATCH(C37&amp;$A$3,[1]PEGITH!$M$5:$T$5&amp;[1]PEGITH!$L$16,0))," ")</f>
        <v xml:space="preserve"> </v>
      </c>
      <c r="Q37" s="420" t="str">
        <f>+IFERROR(INDEX('[1]ISO 140012015'!$M$8:$O$8,MATCH(C37&amp;$A$3,'[1]ISO 140012015'!$M$5:$O$5&amp;'[1]ISO 140012015'!$L$8,0))," ")</f>
        <v xml:space="preserve"> </v>
      </c>
      <c r="R37" s="420" t="str">
        <f>+IFERROR(INDEX('[1]ISO 450012018'!$M$8:$O$8,MATCH(C37&amp;$A$3,'[1]ISO 450012018'!$M$5:$O$5&amp;'[1]ISO 450012018'!$L$8,0))," ")</f>
        <v xml:space="preserve"> </v>
      </c>
      <c r="S37" s="420" t="str">
        <f>+IFERROR(INDEX('[1]ISO 90012015'!$M$8:$O$8,MATCH(C37&amp;$A$3,'[1]ISO 90012015'!$M$5:$O$5&amp;'[1]ISO 90012015'!$L$8,0))," ")</f>
        <v xml:space="preserve"> </v>
      </c>
      <c r="T37" s="420" t="str">
        <f>+IFERROR(INDEX([1]BPE!$M$8:$O$8,MATCH(C37&amp;$A$3,[1]BPE!$M$5:$O$5&amp;[1]BPE!$L$8,0))," ")</f>
        <v xml:space="preserve"> </v>
      </c>
      <c r="U37" s="420" t="str">
        <f>+IFERROR(INDEX([1]BPM!$M$8:$O$8,MATCH(C37&amp;$A$3,[1]BPM!$M$5:$O$5&amp;[1]BPM!$L$8,0))," ")</f>
        <v xml:space="preserve"> </v>
      </c>
      <c r="V37" s="420" t="str">
        <f>+IFERROR(INDEX('[1]Gestion Investigación'!$M$11:$O$11,MATCH(C37&amp;$A$3,'[1]Gestion Investigación'!$M$5:$O$5&amp;'[1]Gestion Investigación'!$L$11,0))," ")</f>
        <v xml:space="preserve"> </v>
      </c>
      <c r="W37" s="420" t="str">
        <f>+IFERROR(INDEX('[1]Líneas Investigación'!$M$8:$O$8,MATCH(C37&amp;$A$3,'[1]Líneas Investigación'!$M$5:$O$5&amp;'[1]Líneas Investigación'!$L$8,0))," ")</f>
        <v xml:space="preserve"> </v>
      </c>
      <c r="X37" s="420" t="str">
        <f>+IFERROR(INDEX([1]Congresos!$M$8:$O$8,MATCH(C37&amp;$A$3,[1]Congresos!$M$5:$O$5&amp;[1]Congresos!$L$8,0))," ")</f>
        <v xml:space="preserve"> </v>
      </c>
      <c r="Y37" s="420" t="str">
        <f>+IFERROR(INDEX('[1]Alianzas Estratégicas'!$M$8:$O$8,MATCH(C37&amp;$A$3,'[1]Alianzas Estratégicas'!$M$5:$O$5&amp;'[1]Alianzas Estratégicas'!$L$8,0))," ")</f>
        <v xml:space="preserve"> </v>
      </c>
      <c r="Z37" s="286">
        <f t="shared" si="7"/>
        <v>0.66237999999999997</v>
      </c>
    </row>
    <row r="38" spans="3:26" x14ac:dyDescent="0.25">
      <c r="C38" s="419" t="s">
        <v>383</v>
      </c>
      <c r="D38" s="286" t="str" cm="1">
        <f t="array" ref="D38">+IFERROR(INDEX('Programa Humanizacion'!$S$12:$V$12,MATCH(C38&amp;$A$3,'Programa Humanizacion'!$S$5:$V$5&amp;'Programa Humanizacion'!$L$12,0)),"")</f>
        <v/>
      </c>
      <c r="E38" s="286" t="str" cm="1">
        <f t="array" ref="E38">+IFERROR(INDEX('Modelo Atención'!$W$8:$AD$8,MATCH(C38&amp;$A$3,'Modelo Atención'!$W$5:$AD$5&amp;'Modelo Atención'!$L$8,0))," ")</f>
        <v xml:space="preserve"> </v>
      </c>
      <c r="F38" s="416"/>
      <c r="G38" s="286" t="str" cm="1">
        <f t="array" ref="G38">+IFERROR(INDEX('Seguridad Paciente'!$AA$11:$AL$11,MATCH(C38&amp;$A$3,'Seguridad Paciente'!$AA$5:$AL$5&amp;'Seguridad Paciente'!$L$11,0))," ")</f>
        <v xml:space="preserve"> </v>
      </c>
      <c r="H38" s="416"/>
      <c r="I38" s="420" t="str" cm="1">
        <f t="array" ref="I38">+IFERROR(INDEX(PEGIF!$W$29:$AF$29,MATCH(C38&amp;$A$3,PEGIF!$W$5:$AC$5&amp;PEGIF!$L$29,0))," ")</f>
        <v xml:space="preserve"> </v>
      </c>
      <c r="J38" s="420" t="str">
        <f>+IFERROR(INDEX([1]Costos!$M$12:$O$12,MATCH(C38&amp;$A$3,[1]Costos!$M$5:$O$5&amp;[1]Costos!$L$12,0))," ")</f>
        <v xml:space="preserve"> </v>
      </c>
      <c r="K38" s="420" t="str" cm="1">
        <f t="array" ref="K38">+IFERROR(INDEX('Prevención Daño Ant'!$Q$11:$Q$11,MATCH(C38&amp;$A$3,'Prevención Daño Ant'!$Q$5:$Q$5&amp;'Prevención Daño Ant'!$L$11,0))," ")</f>
        <v xml:space="preserve"> </v>
      </c>
      <c r="L38" s="416"/>
      <c r="M38" s="420" t="str">
        <f>+IFERROR(INDEX('[1]Integración SI'!$M$10:$P$10,MATCH(C38&amp;$A$3,'[1]Integración SI'!$M$5:$P$5&amp;'[1]Integración SI'!$L$10,0))," ")</f>
        <v xml:space="preserve"> </v>
      </c>
      <c r="N38" s="420" t="str">
        <f>+IFERROR(INDEX('[1]Construcción-Adecuación'!$M$12:$O$12,MATCH(C38&amp;$A$3,'[1]Construcción-Adecuación'!$M$5:$O$5&amp;'[1]Construcción-Adecuación'!$L$12,0))," ")</f>
        <v xml:space="preserve"> </v>
      </c>
      <c r="O38" s="286">
        <f t="array" ref="O38">+INDEX('[1]Gestión Tecnología'!$M$10:$P$10,MATCH(C38&amp;$A$3,'[1]Gestión Tecnología'!$M$5:$P$5&amp;'[1]Gestión Tecnología'!$L$10,0))</f>
        <v>1</v>
      </c>
      <c r="P38" s="420" t="str">
        <f>+IFERROR(INDEX([1]PEGITH!$M$16:$T$16,MATCH(C38&amp;$A$3,[1]PEGITH!$M$5:$T$5&amp;[1]PEGITH!$L$16,0))," ")</f>
        <v xml:space="preserve"> </v>
      </c>
      <c r="Q38" s="420" t="str">
        <f>+IFERROR(INDEX('[1]ISO 140012015'!$M$8:$O$8,MATCH(C38&amp;$A$3,'[1]ISO 140012015'!$M$5:$O$5&amp;'[1]ISO 140012015'!$L$8,0))," ")</f>
        <v xml:space="preserve"> </v>
      </c>
      <c r="R38" s="420" t="str">
        <f>+IFERROR(INDEX('[1]ISO 450012018'!$M$8:$O$8,MATCH(C38&amp;$A$3,'[1]ISO 450012018'!$M$5:$O$5&amp;'[1]ISO 450012018'!$L$8,0))," ")</f>
        <v xml:space="preserve"> </v>
      </c>
      <c r="S38" s="420" t="str">
        <f>+IFERROR(INDEX('[1]ISO 90012015'!$M$8:$O$8,MATCH(C38&amp;$A$3,'[1]ISO 90012015'!$M$5:$O$5&amp;'[1]ISO 90012015'!$L$8,0))," ")</f>
        <v xml:space="preserve"> </v>
      </c>
      <c r="T38" s="420" t="str">
        <f>+IFERROR(INDEX([1]BPE!$M$8:$O$8,MATCH(C38&amp;$A$3,[1]BPE!$M$5:$O$5&amp;[1]BPE!$L$8,0))," ")</f>
        <v xml:space="preserve"> </v>
      </c>
      <c r="U38" s="420" t="str">
        <f>+IFERROR(INDEX([1]BPM!$M$8:$O$8,MATCH(C38&amp;$A$3,[1]BPM!$M$5:$O$5&amp;[1]BPM!$L$8,0))," ")</f>
        <v xml:space="preserve"> </v>
      </c>
      <c r="V38" s="420" t="str">
        <f>+IFERROR(INDEX('[1]Gestion Investigación'!$M$11:$O$11,MATCH(C38&amp;$A$3,'[1]Gestion Investigación'!$M$5:$O$5&amp;'[1]Gestion Investigación'!$L$11,0))," ")</f>
        <v xml:space="preserve"> </v>
      </c>
      <c r="W38" s="420" t="str">
        <f>+IFERROR(INDEX('[1]Líneas Investigación'!$M$8:$O$8,MATCH(C38&amp;$A$3,'[1]Líneas Investigación'!$M$5:$O$5&amp;'[1]Líneas Investigación'!$L$8,0))," ")</f>
        <v xml:space="preserve"> </v>
      </c>
      <c r="X38" s="420" t="str">
        <f>+IFERROR(INDEX([1]Congresos!$M$8:$O$8,MATCH(C38&amp;$A$3,[1]Congresos!$M$5:$O$5&amp;[1]Congresos!$L$8,0))," ")</f>
        <v xml:space="preserve"> </v>
      </c>
      <c r="Y38" s="420" t="str">
        <f>+IFERROR(INDEX('[1]Alianzas Estratégicas'!$M$8:$O$8,MATCH(C38&amp;$A$3,'[1]Alianzas Estratégicas'!$M$5:$O$5&amp;'[1]Alianzas Estratégicas'!$L$8,0))," ")</f>
        <v xml:space="preserve"> </v>
      </c>
      <c r="Z38" s="286">
        <f t="shared" si="7"/>
        <v>1</v>
      </c>
    </row>
    <row r="39" spans="3:26" x14ac:dyDescent="0.25">
      <c r="C39" s="419" t="s">
        <v>261</v>
      </c>
      <c r="D39" s="286" t="str" cm="1">
        <f t="array" ref="D39">+IFERROR(INDEX('Programa Humanizacion'!$S$12:$V$12,MATCH(C39&amp;$A$3,'Programa Humanizacion'!$S$5:$V$5&amp;'Programa Humanizacion'!$L$12,0)),"")</f>
        <v/>
      </c>
      <c r="E39" s="286" t="str" cm="1">
        <f t="array" ref="E39">+IFERROR(INDEX('Modelo Atención'!$W$8:$AD$8,MATCH(C39&amp;$A$3,'Modelo Atención'!$W$5:$AD$5&amp;'Modelo Atención'!$L$8,0))," ")</f>
        <v xml:space="preserve"> </v>
      </c>
      <c r="F39" s="416"/>
      <c r="G39" s="286" t="str" cm="1">
        <f t="array" ref="G39">+IFERROR(INDEX('Seguridad Paciente'!$AA$11:$AL$11,MATCH(C39&amp;$A$3,'Seguridad Paciente'!$AA$5:$AL$5&amp;'Seguridad Paciente'!$L$11,0))," ")</f>
        <v xml:space="preserve"> </v>
      </c>
      <c r="H39" s="416"/>
      <c r="I39" s="420" t="str" cm="1">
        <f t="array" ref="I39">+IFERROR(INDEX(PEGIF!$W$29:$AF$29,MATCH(C39&amp;$A$3,PEGIF!$W$5:$AC$5&amp;PEGIF!$L$29,0))," ")</f>
        <v xml:space="preserve"> </v>
      </c>
      <c r="J39" s="420" t="str">
        <f>+IFERROR(INDEX([1]Costos!$M$12:$O$12,MATCH(C39&amp;$A$3,[1]Costos!$M$5:$O$5&amp;[1]Costos!$L$12,0))," ")</f>
        <v xml:space="preserve"> </v>
      </c>
      <c r="K39" s="420" t="str" cm="1">
        <f t="array" ref="K39">+IFERROR(INDEX('Prevención Daño Ant'!$Q$11:$Q$11,MATCH(C39&amp;$A$3,'Prevención Daño Ant'!$Q$5:$Q$5&amp;'Prevención Daño Ant'!$L$11,0))," ")</f>
        <v xml:space="preserve"> </v>
      </c>
      <c r="L39" s="416"/>
      <c r="M39" s="420" t="str">
        <f>+IFERROR(INDEX('[1]Integración SI'!$M$10:$P$10,MATCH(C39&amp;$A$3,'[1]Integración SI'!$M$5:$P$5&amp;'[1]Integración SI'!$L$10,0))," ")</f>
        <v xml:space="preserve"> </v>
      </c>
      <c r="N39" s="420" t="str">
        <f>+IFERROR(INDEX('[1]Construcción-Adecuación'!$M$12:$O$12,MATCH(C39&amp;$A$3,'[1]Construcción-Adecuación'!$M$5:$O$5&amp;'[1]Construcción-Adecuación'!$L$12,0))," ")</f>
        <v xml:space="preserve"> </v>
      </c>
      <c r="O39" s="420" t="str">
        <f>+IFERROR(INDEX('[1]Gestión Tecnología'!$M$10:$P$10,MATCH(C39&amp;$A$3,'[1]Gestión Tecnología'!$M$5:$P$5&amp;'[1]Gestión Tecnología'!$L$10,0))," ")</f>
        <v xml:space="preserve"> </v>
      </c>
      <c r="P39" s="420" t="str">
        <f>+IFERROR(INDEX([1]PEGITH!$M$16:$T$16,MATCH(C39&amp;$A$3,[1]PEGITH!$M$5:$T$5&amp;[1]PEGITH!$L$16,0))," ")</f>
        <v xml:space="preserve"> </v>
      </c>
      <c r="Q39" s="420" t="str">
        <f>+IFERROR(INDEX('[1]ISO 140012015'!$M$8:$O$8,MATCH(C39&amp;$A$3,'[1]ISO 140012015'!$M$5:$O$5&amp;'[1]ISO 140012015'!$L$8,0))," ")</f>
        <v xml:space="preserve"> </v>
      </c>
      <c r="R39" s="420" t="str">
        <f>+IFERROR(INDEX('[1]ISO 450012018'!$M$8:$O$8,MATCH(C39&amp;$A$3,'[1]ISO 450012018'!$M$5:$O$5&amp;'[1]ISO 450012018'!$L$8,0))," ")</f>
        <v xml:space="preserve"> </v>
      </c>
      <c r="S39" s="420" t="str">
        <f>+IFERROR(INDEX('[1]ISO 90012015'!$M$8:$O$8,MATCH(C39&amp;$A$3,'[1]ISO 90012015'!$M$5:$O$5&amp;'[1]ISO 90012015'!$L$8,0))," ")</f>
        <v xml:space="preserve"> </v>
      </c>
      <c r="T39" s="420" t="str">
        <f>+IFERROR(INDEX([1]BPE!$M$8:$O$8,MATCH(C39&amp;$A$3,[1]BPE!$M$5:$O$5&amp;[1]BPE!$L$8,0))," ")</f>
        <v xml:space="preserve"> </v>
      </c>
      <c r="U39" s="420" t="str">
        <f>+IFERROR(INDEX([1]BPM!$M$8:$O$8,MATCH(C39&amp;$A$3,[1]BPM!$M$5:$O$5&amp;[1]BPM!$L$8,0))," ")</f>
        <v xml:space="preserve"> </v>
      </c>
      <c r="V39" s="420" t="str">
        <f>+IFERROR(INDEX('[1]Gestion Investigación'!$M$11:$O$11,MATCH(C39&amp;$A$3,'[1]Gestion Investigación'!$M$5:$O$5&amp;'[1]Gestion Investigación'!$L$11,0))," ")</f>
        <v xml:space="preserve"> </v>
      </c>
      <c r="W39" s="420" t="str">
        <f>+IFERROR(INDEX('[1]Líneas Investigación'!$M$8:$O$8,MATCH(C39&amp;$A$3,'[1]Líneas Investigación'!$M$5:$O$5&amp;'[1]Líneas Investigación'!$L$8,0))," ")</f>
        <v xml:space="preserve"> </v>
      </c>
      <c r="X39" s="420" t="str">
        <f>+IFERROR(INDEX([1]Congresos!$M$8:$O$8,MATCH(C39&amp;$A$3,[1]Congresos!$M$5:$O$5&amp;[1]Congresos!$L$8,0))," ")</f>
        <v xml:space="preserve"> </v>
      </c>
      <c r="Y39" s="420" t="str">
        <f>+IFERROR(INDEX('[1]Alianzas Estratégicas'!$M$8:$O$8,MATCH(C39&amp;$A$3,'[1]Alianzas Estratégicas'!$M$5:$O$5&amp;'[1]Alianzas Estratégicas'!$L$8,0))," ")</f>
        <v xml:space="preserve"> </v>
      </c>
      <c r="Z39" s="286" t="e">
        <f>+AVERAGE(D39:Y39)</f>
        <v>#DIV/0!</v>
      </c>
    </row>
    <row r="40" spans="3:26" x14ac:dyDescent="0.25">
      <c r="C40" s="419" t="s">
        <v>301</v>
      </c>
      <c r="D40" s="286" t="str" cm="1">
        <f t="array" ref="D40">+IFERROR(INDEX('Programa Humanizacion'!$S$12:$V$12,MATCH(C40&amp;$A$3,'Programa Humanizacion'!$S$5:$V$5&amp;'Programa Humanizacion'!$L$12,0)),"")</f>
        <v/>
      </c>
      <c r="E40" s="286" t="str" cm="1">
        <f t="array" ref="E40">+IFERROR(INDEX('Modelo Atención'!$W$8:$AD$8,MATCH(C40&amp;$A$3,'Modelo Atención'!$W$5:$AD$5&amp;'Modelo Atención'!$L$8,0))," ")</f>
        <v xml:space="preserve"> </v>
      </c>
      <c r="F40" s="416"/>
      <c r="G40" s="286" t="str" cm="1">
        <f t="array" ref="G40">+IFERROR(INDEX('Seguridad Paciente'!$AA$11:$AL$11,MATCH(C40&amp;$A$3,'Seguridad Paciente'!$AA$5:$AL$5&amp;'Seguridad Paciente'!$L$11,0))," ")</f>
        <v xml:space="preserve"> </v>
      </c>
      <c r="H40" s="416"/>
      <c r="I40" s="420" t="str" cm="1">
        <f t="array" ref="I40">+IFERROR(INDEX(PEGIF!$W$29:$AF$29,MATCH(C40&amp;$A$3,PEGIF!$W$5:$AC$5&amp;PEGIF!$L$29,0))," ")</f>
        <v xml:space="preserve"> </v>
      </c>
      <c r="J40" s="420" t="str">
        <f>+IFERROR(INDEX([1]Costos!$M$12:$O$12,MATCH(C40&amp;$A$3,[1]Costos!$M$5:$O$5&amp;[1]Costos!$L$12,0))," ")</f>
        <v xml:space="preserve"> </v>
      </c>
      <c r="K40" s="420" t="str" cm="1">
        <f t="array" ref="K40">+IFERROR(INDEX('Prevención Daño Ant'!$Q$11:$Q$11,MATCH(C40&amp;$A$3,'Prevención Daño Ant'!$Q$5:$Q$5&amp;'Prevención Daño Ant'!$L$11,0))," ")</f>
        <v xml:space="preserve"> </v>
      </c>
      <c r="L40" s="416"/>
      <c r="M40" s="420" t="str">
        <f>+IFERROR(INDEX('[1]Integración SI'!$M$10:$P$10,MATCH(C40&amp;$A$3,'[1]Integración SI'!$M$5:$P$5&amp;'[1]Integración SI'!$L$10,0))," ")</f>
        <v xml:space="preserve"> </v>
      </c>
      <c r="N40" s="420" t="str">
        <f>+IFERROR(INDEX('[1]Construcción-Adecuación'!$M$12:$O$12,MATCH(C40&amp;$A$3,'[1]Construcción-Adecuación'!$M$5:$O$5&amp;'[1]Construcción-Adecuación'!$L$12,0))," ")</f>
        <v xml:space="preserve"> </v>
      </c>
      <c r="O40" s="420" t="str">
        <f>+IFERROR(INDEX('[1]Gestión Tecnología'!$M$10:$P$10,MATCH(C40&amp;$A$3,'[1]Gestión Tecnología'!$M$5:$P$5&amp;'[1]Gestión Tecnología'!$L$10,0))," ")</f>
        <v xml:space="preserve"> </v>
      </c>
      <c r="P40" s="420" t="str">
        <f>+IFERROR(INDEX([1]PEGITH!$M$16:$T$16,MATCH(C40&amp;$A$3,[1]PEGITH!$M$5:$T$5&amp;[1]PEGITH!$L$16,0))," ")</f>
        <v xml:space="preserve"> </v>
      </c>
      <c r="Q40" s="420" t="str">
        <f>+IFERROR(INDEX('[1]ISO 140012015'!$M$8:$O$8,MATCH(C40&amp;$A$3,'[1]ISO 140012015'!$M$5:$O$5&amp;'[1]ISO 140012015'!$L$8,0))," ")</f>
        <v xml:space="preserve"> </v>
      </c>
      <c r="R40" s="420" t="str">
        <f>+IFERROR(INDEX('[1]ISO 450012018'!$M$8:$O$8,MATCH(C40&amp;$A$3,'[1]ISO 450012018'!$M$5:$O$5&amp;'[1]ISO 450012018'!$L$8,0))," ")</f>
        <v xml:space="preserve"> </v>
      </c>
      <c r="S40" s="420" t="str">
        <f>+IFERROR(INDEX('[1]ISO 90012015'!$M$8:$O$8,MATCH(C40&amp;$A$3,'[1]ISO 90012015'!$M$5:$O$5&amp;'[1]ISO 90012015'!$L$8,0))," ")</f>
        <v xml:space="preserve"> </v>
      </c>
      <c r="T40" s="420" t="str">
        <f>+IFERROR(INDEX([1]BPE!$M$8:$O$8,MATCH(C40&amp;$A$3,[1]BPE!$M$5:$O$5&amp;[1]BPE!$L$8,0))," ")</f>
        <v xml:space="preserve"> </v>
      </c>
      <c r="U40" s="420" t="str">
        <f>+IFERROR(INDEX([1]BPM!$M$8:$O$8,MATCH(C40&amp;$A$3,[1]BPM!$M$5:$O$5&amp;[1]BPM!$L$8,0))," ")</f>
        <v xml:space="preserve"> </v>
      </c>
      <c r="V40" s="420" t="str">
        <f>+IFERROR(INDEX('[1]Gestion Investigación'!$M$11:$O$11,MATCH(C40&amp;$A$3,'[1]Gestion Investigación'!$M$5:$O$5&amp;'[1]Gestion Investigación'!$L$11,0))," ")</f>
        <v xml:space="preserve"> </v>
      </c>
      <c r="W40" s="420" t="str">
        <f>+IFERROR(INDEX('[1]Líneas Investigación'!$M$8:$O$8,MATCH(C40&amp;$A$3,'[1]Líneas Investigación'!$M$5:$O$5&amp;'[1]Líneas Investigación'!$L$8,0))," ")</f>
        <v xml:space="preserve"> </v>
      </c>
      <c r="X40" s="420" t="str">
        <f>+IFERROR(INDEX([1]Congresos!$M$8:$O$8,MATCH(C40&amp;$A$3,[1]Congresos!$M$5:$O$5&amp;[1]Congresos!$L$8,0))," ")</f>
        <v xml:space="preserve"> </v>
      </c>
      <c r="Y40" s="420" t="str">
        <f>+IFERROR(INDEX('[1]Alianzas Estratégicas'!$M$8:$O$8,MATCH(C40&amp;$A$3,'[1]Alianzas Estratégicas'!$M$5:$O$5&amp;'[1]Alianzas Estratégicas'!$L$8,0))," ")</f>
        <v xml:space="preserve"> </v>
      </c>
      <c r="Z40" s="286" t="e">
        <f t="shared" ref="Z40" si="8">+AVERAGE(D40:Y40)</f>
        <v>#DIV/0!</v>
      </c>
    </row>
    <row r="41" spans="3:26" x14ac:dyDescent="0.25">
      <c r="D41" s="421" t="e">
        <f>+AVERAGE(D4:D40)</f>
        <v>#N/A</v>
      </c>
      <c r="E41" s="423" t="e">
        <f>+AVERAGE(E4:E40)</f>
        <v>#DIV/0!</v>
      </c>
      <c r="F41" s="423"/>
      <c r="G41" s="423" t="e">
        <f t="shared" ref="G41:Z41" si="9">+AVERAGE(G4:G40)</f>
        <v>#DIV/0!</v>
      </c>
      <c r="H41" s="416"/>
      <c r="I41" s="423" t="e">
        <f t="shared" si="9"/>
        <v>#DIV/0!</v>
      </c>
      <c r="J41" s="423">
        <f t="shared" si="9"/>
        <v>0.79749999999999999</v>
      </c>
      <c r="K41" s="423" t="e">
        <f t="shared" si="9"/>
        <v>#DIV/0!</v>
      </c>
      <c r="L41" s="423">
        <f t="shared" si="9"/>
        <v>0.73350000000000004</v>
      </c>
      <c r="M41" s="423">
        <f t="shared" si="9"/>
        <v>0.81666666666666676</v>
      </c>
      <c r="N41" s="423">
        <f t="shared" si="9"/>
        <v>0.66237999999999997</v>
      </c>
      <c r="O41" s="423">
        <f t="shared" si="9"/>
        <v>0.92380952380952386</v>
      </c>
      <c r="P41" s="423">
        <f t="shared" si="9"/>
        <v>0.99109375</v>
      </c>
      <c r="Q41" s="423">
        <f t="shared" si="9"/>
        <v>0.94</v>
      </c>
      <c r="R41" s="423">
        <f t="shared" si="9"/>
        <v>0.91</v>
      </c>
      <c r="S41" s="423">
        <f t="shared" si="9"/>
        <v>0.91</v>
      </c>
      <c r="T41" s="423">
        <f t="shared" si="9"/>
        <v>0</v>
      </c>
      <c r="U41" s="423">
        <f t="shared" si="9"/>
        <v>0</v>
      </c>
      <c r="V41" s="423">
        <f t="shared" si="9"/>
        <v>0.8833333333333333</v>
      </c>
      <c r="W41" s="423">
        <f t="shared" si="9"/>
        <v>0.9</v>
      </c>
      <c r="X41" s="287" t="e">
        <f t="shared" si="9"/>
        <v>#DIV/0!</v>
      </c>
      <c r="Y41" s="287">
        <f t="shared" si="9"/>
        <v>1</v>
      </c>
      <c r="Z41" s="423" t="e">
        <f t="shared" si="9"/>
        <v>#N/A</v>
      </c>
    </row>
  </sheetData>
  <pageMargins left="0.70866141732283472" right="0.70866141732283472"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3"/>
  <dimension ref="A1:AG11"/>
  <sheetViews>
    <sheetView topLeftCell="F2" zoomScale="70" zoomScaleNormal="70" workbookViewId="0">
      <selection activeCell="M7" sqref="M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 customWidth="1"/>
    <col min="7" max="7" width="20" customWidth="1"/>
    <col min="8" max="8" width="25.28515625" customWidth="1"/>
    <col min="9" max="10" width="14.42578125" customWidth="1"/>
    <col min="11" max="11" width="17.7109375" customWidth="1"/>
    <col min="12" max="12" width="13.7109375" customWidth="1"/>
    <col min="13" max="13" width="19.42578125" customWidth="1"/>
    <col min="14" max="14" width="39.42578125" customWidth="1"/>
    <col min="15" max="15" width="31.140625" customWidth="1"/>
    <col min="16" max="16" width="25" customWidth="1"/>
    <col min="17" max="17" width="19.42578125" hidden="1" customWidth="1"/>
    <col min="18" max="18" width="39.42578125" hidden="1" customWidth="1"/>
    <col min="19" max="20" width="25" hidden="1" customWidth="1"/>
    <col min="21" max="21" width="19.42578125" hidden="1" customWidth="1"/>
    <col min="22" max="22" width="39.42578125" hidden="1" customWidth="1"/>
    <col min="23" max="24" width="25" hidden="1" customWidth="1"/>
    <col min="25" max="29" width="17.7109375" customWidth="1"/>
    <col min="30" max="33" width="26.5703125" customWidth="1"/>
  </cols>
  <sheetData>
    <row r="1" spans="1:33"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77"/>
      <c r="AF1" s="577"/>
      <c r="AG1" s="577"/>
    </row>
    <row r="2" spans="1:33" ht="41.25" customHeight="1" x14ac:dyDescent="0.25">
      <c r="A2" s="568" t="s">
        <v>608</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7"/>
      <c r="AF2" s="577"/>
      <c r="AG2" s="577"/>
    </row>
    <row r="3" spans="1:33"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78" t="s">
        <v>609</v>
      </c>
      <c r="AF3" s="578"/>
      <c r="AG3" s="578"/>
    </row>
    <row r="4" spans="1:33" ht="15.75" thickBot="1" x14ac:dyDescent="0.3">
      <c r="A4" s="572" t="s">
        <v>193</v>
      </c>
      <c r="B4" s="572"/>
      <c r="C4" s="572"/>
      <c r="D4" s="572"/>
      <c r="E4" s="28"/>
      <c r="F4" s="36"/>
      <c r="G4" s="28"/>
      <c r="H4" s="28"/>
      <c r="I4" s="28"/>
      <c r="J4" s="28"/>
      <c r="K4" s="28"/>
      <c r="L4" s="28"/>
      <c r="M4" s="54"/>
      <c r="N4" s="28"/>
      <c r="O4" s="28"/>
      <c r="P4" s="28"/>
      <c r="Q4" s="54"/>
      <c r="R4" s="28"/>
      <c r="S4" s="28"/>
      <c r="T4" s="28"/>
      <c r="U4" s="54"/>
      <c r="V4" s="28"/>
      <c r="W4" s="28"/>
      <c r="X4" s="28"/>
      <c r="Y4" s="28"/>
      <c r="Z4" s="28"/>
      <c r="AA4" s="28"/>
      <c r="AB4" s="28"/>
      <c r="AC4" s="28"/>
      <c r="AD4" s="28"/>
      <c r="AE4" s="28"/>
      <c r="AF4" s="28"/>
      <c r="AG4" s="28"/>
    </row>
    <row r="5" spans="1:33" ht="69" customHeight="1" x14ac:dyDescent="0.25">
      <c r="A5" s="583" t="s">
        <v>1</v>
      </c>
      <c r="B5" s="575" t="s">
        <v>3</v>
      </c>
      <c r="C5" s="575" t="s">
        <v>194</v>
      </c>
      <c r="D5" s="575" t="s">
        <v>195</v>
      </c>
      <c r="E5" s="575" t="s">
        <v>196</v>
      </c>
      <c r="F5" s="581" t="s">
        <v>231</v>
      </c>
      <c r="G5" s="575" t="s">
        <v>228</v>
      </c>
      <c r="H5" s="575" t="s">
        <v>227</v>
      </c>
      <c r="I5" s="575" t="s">
        <v>8</v>
      </c>
      <c r="J5" s="740" t="s">
        <v>481</v>
      </c>
      <c r="K5" s="575" t="s">
        <v>501</v>
      </c>
      <c r="L5" s="742" t="s">
        <v>9</v>
      </c>
      <c r="M5" s="184" t="s">
        <v>417</v>
      </c>
      <c r="N5" s="573" t="s">
        <v>414</v>
      </c>
      <c r="O5" s="573" t="s">
        <v>416</v>
      </c>
      <c r="P5" s="563" t="s">
        <v>474</v>
      </c>
      <c r="Q5" s="177" t="s">
        <v>336</v>
      </c>
      <c r="R5" s="573" t="s">
        <v>414</v>
      </c>
      <c r="S5" s="573" t="s">
        <v>416</v>
      </c>
      <c r="T5" s="563" t="s">
        <v>477</v>
      </c>
      <c r="U5" s="177" t="s">
        <v>336</v>
      </c>
      <c r="V5" s="573" t="s">
        <v>414</v>
      </c>
      <c r="W5" s="573" t="s">
        <v>416</v>
      </c>
      <c r="X5" s="563" t="s">
        <v>479</v>
      </c>
      <c r="Y5" s="626" t="s">
        <v>11</v>
      </c>
      <c r="Z5" s="627"/>
      <c r="AA5" s="627"/>
      <c r="AB5" s="627"/>
      <c r="AC5" s="628"/>
      <c r="AD5" s="569" t="s">
        <v>197</v>
      </c>
      <c r="AE5" s="570"/>
      <c r="AF5" s="570"/>
      <c r="AG5" s="571"/>
    </row>
    <row r="6" spans="1:33" ht="57" customHeight="1" x14ac:dyDescent="0.25">
      <c r="A6" s="584"/>
      <c r="B6" s="514"/>
      <c r="C6" s="514"/>
      <c r="D6" s="514"/>
      <c r="E6" s="514"/>
      <c r="F6" s="582"/>
      <c r="G6" s="514"/>
      <c r="H6" s="514"/>
      <c r="I6" s="514"/>
      <c r="J6" s="741"/>
      <c r="K6" s="514"/>
      <c r="L6" s="743"/>
      <c r="M6" s="141" t="s">
        <v>298</v>
      </c>
      <c r="N6" s="574"/>
      <c r="O6" s="574"/>
      <c r="P6" s="564"/>
      <c r="Q6" s="141" t="s">
        <v>287</v>
      </c>
      <c r="R6" s="574"/>
      <c r="S6" s="574"/>
      <c r="T6" s="564"/>
      <c r="U6" s="141" t="s">
        <v>312</v>
      </c>
      <c r="V6" s="574"/>
      <c r="W6" s="574"/>
      <c r="X6" s="564"/>
      <c r="Y6" s="154" t="s">
        <v>198</v>
      </c>
      <c r="Z6" s="5" t="s">
        <v>199</v>
      </c>
      <c r="AA6" s="5" t="s">
        <v>200</v>
      </c>
      <c r="AB6" s="5" t="s">
        <v>201</v>
      </c>
      <c r="AC6" s="155" t="s">
        <v>20</v>
      </c>
      <c r="AD6" s="159" t="s">
        <v>202</v>
      </c>
      <c r="AE6" s="31" t="s">
        <v>203</v>
      </c>
      <c r="AF6" s="31" t="s">
        <v>204</v>
      </c>
      <c r="AG6" s="160" t="s">
        <v>205</v>
      </c>
    </row>
    <row r="7" spans="1:33" ht="119.25" customHeight="1" x14ac:dyDescent="0.25">
      <c r="A7" s="280" t="s">
        <v>167</v>
      </c>
      <c r="B7" s="279" t="s">
        <v>329</v>
      </c>
      <c r="C7" s="279" t="s">
        <v>330</v>
      </c>
      <c r="D7" s="279" t="s">
        <v>331</v>
      </c>
      <c r="E7" s="279" t="s">
        <v>335</v>
      </c>
      <c r="F7" s="281">
        <v>0.3</v>
      </c>
      <c r="G7" s="136" t="s">
        <v>334</v>
      </c>
      <c r="H7" s="136" t="s">
        <v>333</v>
      </c>
      <c r="I7" s="117" t="s">
        <v>141</v>
      </c>
      <c r="J7" s="201" t="s">
        <v>483</v>
      </c>
      <c r="K7" s="311" t="s">
        <v>672</v>
      </c>
      <c r="L7" s="183" t="s">
        <v>174</v>
      </c>
      <c r="M7" s="142">
        <v>0.9</v>
      </c>
      <c r="N7" s="55" t="s">
        <v>420</v>
      </c>
      <c r="O7" s="102" t="s">
        <v>671</v>
      </c>
      <c r="P7" s="185">
        <f>+M7</f>
        <v>0.9</v>
      </c>
      <c r="Q7" s="142" t="s">
        <v>421</v>
      </c>
      <c r="R7" s="55"/>
      <c r="S7" s="102"/>
      <c r="T7" s="185" t="str">
        <f>+Q7</f>
        <v>-</v>
      </c>
      <c r="U7" s="142" t="s">
        <v>421</v>
      </c>
      <c r="V7" s="55"/>
      <c r="W7" s="102"/>
      <c r="X7" s="185"/>
      <c r="Y7" s="156" t="s">
        <v>226</v>
      </c>
      <c r="Z7" s="25">
        <f>IFERROR(IF(P8&gt;=0.9,1,(P8*100%)/0.9),"-")</f>
        <v>1</v>
      </c>
      <c r="AA7" s="25" t="str">
        <f>IFERROR((T7*100%)/$I$7,"-")</f>
        <v>-</v>
      </c>
      <c r="AB7" s="25" t="str">
        <f>IFERROR((X7*100%)/$I$7,"-")</f>
        <v>-</v>
      </c>
      <c r="AC7" s="157">
        <f>IFERROR(AVERAGE(Y7:AB7),"-")</f>
        <v>1</v>
      </c>
      <c r="AD7" s="161"/>
      <c r="AE7" s="33"/>
      <c r="AF7" s="34"/>
      <c r="AG7" s="162"/>
    </row>
    <row r="8" spans="1:33" ht="26.25" thickBot="1" x14ac:dyDescent="0.3">
      <c r="A8" s="629" t="s">
        <v>293</v>
      </c>
      <c r="B8" s="630"/>
      <c r="C8" s="630"/>
      <c r="D8" s="630"/>
      <c r="E8" s="630"/>
      <c r="F8" s="630"/>
      <c r="G8" s="630"/>
      <c r="H8" s="630"/>
      <c r="I8" s="630"/>
      <c r="J8" s="631"/>
      <c r="K8" s="631"/>
      <c r="L8" s="632"/>
      <c r="M8" s="293">
        <f>+IFERROR(AVERAGE(M7:M7),"-")</f>
        <v>0.9</v>
      </c>
      <c r="N8" s="147"/>
      <c r="O8" s="120"/>
      <c r="P8" s="619">
        <f>IFERROR(AVERAGE(P7:P7),"-")</f>
        <v>0.9</v>
      </c>
      <c r="Q8" s="188" t="str">
        <f>+IFERROR(AVERAGE(Q7:Q7),"-")</f>
        <v>-</v>
      </c>
      <c r="R8" s="147"/>
      <c r="S8" s="120"/>
      <c r="T8" s="619" t="str">
        <f>IFERROR(AVERAGE(T7:T7),"-")</f>
        <v>-</v>
      </c>
      <c r="U8" s="188" t="str">
        <f>+IFERROR(AVERAGE(U7:U7),"-")</f>
        <v>-</v>
      </c>
      <c r="V8" s="147"/>
      <c r="W8" s="120"/>
      <c r="X8" s="669" t="str">
        <f>IFERROR(AVERAGE(U7:U7),"-")</f>
        <v>-</v>
      </c>
      <c r="Y8" s="170" t="str">
        <f>IFERROR(AVERAGE(Y7:Y7),"-")</f>
        <v>-</v>
      </c>
      <c r="Z8" s="171">
        <f>IFERROR(AVERAGE(Z7:Z7),"-")</f>
        <v>1</v>
      </c>
      <c r="AA8" s="171" t="str">
        <f>IFERROR(AVERAGE(AA7:AA7),"-")</f>
        <v>-</v>
      </c>
      <c r="AB8" s="56" t="str">
        <f>IFERROR(AVERAGE(AB7:AB7),"-")</f>
        <v>-</v>
      </c>
      <c r="AC8" s="695">
        <f>IFERROR(AVERAGE(AC7:AC7),"-")</f>
        <v>1</v>
      </c>
      <c r="AD8" s="165"/>
      <c r="AE8" s="166"/>
      <c r="AF8" s="167"/>
      <c r="AG8" s="168"/>
    </row>
    <row r="9" spans="1:33" ht="27" thickBot="1" x14ac:dyDescent="0.3">
      <c r="A9" s="28"/>
      <c r="B9" s="28"/>
      <c r="C9" s="28"/>
      <c r="D9" s="28"/>
      <c r="E9" s="28"/>
      <c r="F9" s="36"/>
      <c r="G9" s="28"/>
      <c r="H9" s="28"/>
      <c r="I9" s="28"/>
      <c r="J9" s="28"/>
      <c r="K9" s="28"/>
      <c r="M9" s="181"/>
      <c r="N9" s="180"/>
      <c r="O9" s="187" t="s">
        <v>418</v>
      </c>
      <c r="P9" s="620"/>
      <c r="Q9" s="179"/>
      <c r="R9" s="180"/>
      <c r="S9" s="187" t="s">
        <v>296</v>
      </c>
      <c r="T9" s="620"/>
      <c r="U9" s="179"/>
      <c r="V9" s="181"/>
      <c r="W9" s="189" t="s">
        <v>419</v>
      </c>
      <c r="X9" s="670"/>
      <c r="Y9" s="172"/>
      <c r="Z9" s="173"/>
      <c r="AA9" s="174"/>
      <c r="AB9" s="158" t="s">
        <v>294</v>
      </c>
      <c r="AC9" s="696"/>
      <c r="AD9" s="28"/>
      <c r="AE9" s="28"/>
      <c r="AF9" s="28"/>
      <c r="AG9" s="28"/>
    </row>
    <row r="10" spans="1:33" x14ac:dyDescent="0.25">
      <c r="O10" s="58"/>
      <c r="P10" s="58"/>
      <c r="S10" s="58"/>
      <c r="T10" s="58"/>
      <c r="W10" s="58"/>
      <c r="X10" s="58"/>
    </row>
    <row r="11" spans="1:33" x14ac:dyDescent="0.25">
      <c r="O11" s="28"/>
      <c r="P11" s="28"/>
      <c r="S11" s="28"/>
      <c r="T11" s="28"/>
      <c r="W11" s="28"/>
      <c r="X11" s="28"/>
    </row>
  </sheetData>
  <mergeCells count="35">
    <mergeCell ref="AC8:AC9"/>
    <mergeCell ref="A8:L8"/>
    <mergeCell ref="T8:T9"/>
    <mergeCell ref="X8:X9"/>
    <mergeCell ref="P8:P9"/>
    <mergeCell ref="X5:X6"/>
    <mergeCell ref="AE1:AG2"/>
    <mergeCell ref="A2:B3"/>
    <mergeCell ref="C2:AD3"/>
    <mergeCell ref="AE3:AG3"/>
    <mergeCell ref="D5:D6"/>
    <mergeCell ref="Y5:AC5"/>
    <mergeCell ref="AD5:AG5"/>
    <mergeCell ref="V5:V6"/>
    <mergeCell ref="W5:W6"/>
    <mergeCell ref="L5:L6"/>
    <mergeCell ref="N5:N6"/>
    <mergeCell ref="O5:O6"/>
    <mergeCell ref="R5:R6"/>
    <mergeCell ref="A1:B1"/>
    <mergeCell ref="C1:AD1"/>
    <mergeCell ref="T5:T6"/>
    <mergeCell ref="S5:S6"/>
    <mergeCell ref="I5:I6"/>
    <mergeCell ref="E5:E6"/>
    <mergeCell ref="A4:D4"/>
    <mergeCell ref="A5:A6"/>
    <mergeCell ref="B5:B6"/>
    <mergeCell ref="C5:C6"/>
    <mergeCell ref="P5:P6"/>
    <mergeCell ref="F5:F6"/>
    <mergeCell ref="G5:G6"/>
    <mergeCell ref="H5:H6"/>
    <mergeCell ref="J5:J6"/>
    <mergeCell ref="K5:K6"/>
  </mergeCells>
  <conditionalFormatting sqref="Y7:AC7 AC8">
    <cfRule type="cellIs" dxfId="8" priority="1" operator="lessThan">
      <formula>0.6</formula>
    </cfRule>
    <cfRule type="cellIs" dxfId="7" priority="2" operator="between">
      <formula>60%</formula>
      <formula>79%</formula>
    </cfRule>
    <cfRule type="cellIs" dxfId="6" priority="3" operator="between">
      <formula>80%</formula>
      <formula>100%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AG9"/>
  <sheetViews>
    <sheetView topLeftCell="E1" zoomScale="70" zoomScaleNormal="70" workbookViewId="0">
      <selection activeCell="N7" sqref="N7:O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28515625" customWidth="1"/>
    <col min="7" max="7" width="20" customWidth="1"/>
    <col min="8" max="8" width="25.28515625" customWidth="1"/>
    <col min="9" max="11" width="14.42578125" customWidth="1"/>
    <col min="12" max="12" width="13.7109375" customWidth="1"/>
    <col min="13" max="13" width="19.42578125" customWidth="1"/>
    <col min="14" max="14" width="32.85546875" customWidth="1"/>
    <col min="15" max="15" width="39.85546875" customWidth="1"/>
    <col min="16" max="16" width="23.140625" customWidth="1"/>
    <col min="17" max="17" width="19.42578125" hidden="1" customWidth="1"/>
    <col min="18" max="18" width="32.85546875" hidden="1" customWidth="1"/>
    <col min="19" max="20" width="23.140625" hidden="1" customWidth="1"/>
    <col min="21" max="21" width="19.42578125" hidden="1" customWidth="1"/>
    <col min="22" max="22" width="32.85546875" hidden="1" customWidth="1"/>
    <col min="23" max="24" width="23.140625" hidden="1" customWidth="1"/>
    <col min="25" max="29" width="17.7109375" customWidth="1"/>
    <col min="30" max="33" width="26.5703125" customWidth="1"/>
  </cols>
  <sheetData>
    <row r="1" spans="1:33"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77"/>
      <c r="AF1" s="577"/>
      <c r="AG1" s="577"/>
    </row>
    <row r="2" spans="1:33" ht="41.25" customHeight="1" x14ac:dyDescent="0.25">
      <c r="A2" s="568" t="s">
        <v>608</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7"/>
      <c r="AF2" s="577"/>
      <c r="AG2" s="577"/>
    </row>
    <row r="3" spans="1:33"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78" t="s">
        <v>609</v>
      </c>
      <c r="AF3" s="578"/>
      <c r="AG3" s="578"/>
    </row>
    <row r="4" spans="1:33" ht="15.75" thickBot="1" x14ac:dyDescent="0.3">
      <c r="A4" s="572" t="s">
        <v>193</v>
      </c>
      <c r="B4" s="572"/>
      <c r="C4" s="572"/>
      <c r="D4" s="572"/>
      <c r="E4" s="28"/>
      <c r="F4" s="36"/>
      <c r="G4" s="28"/>
      <c r="H4" s="28"/>
      <c r="I4" s="28"/>
      <c r="J4" s="28"/>
      <c r="K4" s="28"/>
      <c r="L4" s="28"/>
      <c r="M4" s="54"/>
      <c r="N4" s="28"/>
      <c r="O4" s="28"/>
      <c r="P4" s="28"/>
      <c r="Q4" s="54"/>
      <c r="R4" s="28"/>
      <c r="S4" s="28"/>
      <c r="T4" s="28"/>
      <c r="U4" s="54"/>
      <c r="V4" s="28"/>
      <c r="W4" s="28"/>
      <c r="X4" s="28"/>
      <c r="Y4" s="28"/>
      <c r="Z4" s="28"/>
      <c r="AA4" s="28"/>
      <c r="AB4" s="28"/>
      <c r="AC4" s="28"/>
      <c r="AD4" s="28"/>
      <c r="AE4" s="28"/>
      <c r="AF4" s="28"/>
      <c r="AG4" s="28"/>
    </row>
    <row r="5" spans="1:33" ht="57" customHeight="1" x14ac:dyDescent="0.25">
      <c r="A5" s="583" t="s">
        <v>1</v>
      </c>
      <c r="B5" s="575" t="s">
        <v>3</v>
      </c>
      <c r="C5" s="575" t="s">
        <v>194</v>
      </c>
      <c r="D5" s="575" t="s">
        <v>195</v>
      </c>
      <c r="E5" s="575" t="s">
        <v>196</v>
      </c>
      <c r="F5" s="581" t="s">
        <v>231</v>
      </c>
      <c r="G5" s="575" t="s">
        <v>228</v>
      </c>
      <c r="H5" s="575" t="s">
        <v>227</v>
      </c>
      <c r="I5" s="575" t="s">
        <v>8</v>
      </c>
      <c r="J5" s="575" t="s">
        <v>481</v>
      </c>
      <c r="K5" s="575" t="s">
        <v>501</v>
      </c>
      <c r="L5" s="579" t="s">
        <v>9</v>
      </c>
      <c r="M5" s="177" t="s">
        <v>336</v>
      </c>
      <c r="N5" s="573" t="s">
        <v>414</v>
      </c>
      <c r="O5" s="573" t="s">
        <v>416</v>
      </c>
      <c r="P5" s="563" t="s">
        <v>474</v>
      </c>
      <c r="Q5" s="177" t="s">
        <v>336</v>
      </c>
      <c r="R5" s="573" t="s">
        <v>414</v>
      </c>
      <c r="S5" s="573" t="s">
        <v>416</v>
      </c>
      <c r="T5" s="563" t="s">
        <v>477</v>
      </c>
      <c r="U5" s="177" t="s">
        <v>336</v>
      </c>
      <c r="V5" s="573" t="s">
        <v>414</v>
      </c>
      <c r="W5" s="573" t="s">
        <v>416</v>
      </c>
      <c r="X5" s="563" t="s">
        <v>477</v>
      </c>
      <c r="Y5" s="626" t="s">
        <v>11</v>
      </c>
      <c r="Z5" s="627"/>
      <c r="AA5" s="627"/>
      <c r="AB5" s="627"/>
      <c r="AC5" s="628"/>
      <c r="AD5" s="569" t="s">
        <v>197</v>
      </c>
      <c r="AE5" s="570"/>
      <c r="AF5" s="570"/>
      <c r="AG5" s="571"/>
    </row>
    <row r="6" spans="1:33" ht="57" customHeight="1" x14ac:dyDescent="0.25">
      <c r="A6" s="584"/>
      <c r="B6" s="514"/>
      <c r="C6" s="514"/>
      <c r="D6" s="514"/>
      <c r="E6" s="514"/>
      <c r="F6" s="582"/>
      <c r="G6" s="514"/>
      <c r="H6" s="514"/>
      <c r="I6" s="514"/>
      <c r="J6" s="514"/>
      <c r="K6" s="514"/>
      <c r="L6" s="580"/>
      <c r="M6" s="141" t="s">
        <v>298</v>
      </c>
      <c r="N6" s="574"/>
      <c r="O6" s="574"/>
      <c r="P6" s="564"/>
      <c r="Q6" s="141" t="s">
        <v>287</v>
      </c>
      <c r="R6" s="574"/>
      <c r="S6" s="574"/>
      <c r="T6" s="564"/>
      <c r="U6" s="141" t="s">
        <v>312</v>
      </c>
      <c r="V6" s="574"/>
      <c r="W6" s="574"/>
      <c r="X6" s="564"/>
      <c r="Y6" s="154" t="s">
        <v>198</v>
      </c>
      <c r="Z6" s="5" t="s">
        <v>199</v>
      </c>
      <c r="AA6" s="5" t="s">
        <v>200</v>
      </c>
      <c r="AB6" s="5" t="s">
        <v>201</v>
      </c>
      <c r="AC6" s="155" t="s">
        <v>20</v>
      </c>
      <c r="AD6" s="159" t="s">
        <v>202</v>
      </c>
      <c r="AE6" s="31" t="s">
        <v>203</v>
      </c>
      <c r="AF6" s="31" t="s">
        <v>204</v>
      </c>
      <c r="AG6" s="160" t="s">
        <v>205</v>
      </c>
    </row>
    <row r="7" spans="1:33" ht="105.75" customHeight="1" x14ac:dyDescent="0.25">
      <c r="A7" s="280" t="s">
        <v>167</v>
      </c>
      <c r="B7" s="279" t="s">
        <v>329</v>
      </c>
      <c r="C7" s="279" t="s">
        <v>330</v>
      </c>
      <c r="D7" s="279" t="s">
        <v>331</v>
      </c>
      <c r="E7" s="279" t="s">
        <v>222</v>
      </c>
      <c r="F7" s="284">
        <v>1</v>
      </c>
      <c r="G7" s="136" t="s">
        <v>338</v>
      </c>
      <c r="H7" s="136" t="s">
        <v>337</v>
      </c>
      <c r="I7" s="73">
        <v>1</v>
      </c>
      <c r="J7" s="201" t="s">
        <v>483</v>
      </c>
      <c r="K7" s="311" t="s">
        <v>652</v>
      </c>
      <c r="L7" s="183" t="s">
        <v>174</v>
      </c>
      <c r="M7" s="150" t="s">
        <v>226</v>
      </c>
      <c r="N7" s="69" t="s">
        <v>425</v>
      </c>
      <c r="O7" s="334" t="s">
        <v>673</v>
      </c>
      <c r="P7" s="175" t="str">
        <f>+M7</f>
        <v>NA</v>
      </c>
      <c r="Q7" s="150" t="s">
        <v>226</v>
      </c>
      <c r="R7" s="69" t="s">
        <v>425</v>
      </c>
      <c r="S7" s="70"/>
      <c r="T7" s="175" t="s">
        <v>226</v>
      </c>
      <c r="U7" s="150" t="s">
        <v>421</v>
      </c>
      <c r="V7" s="69" t="s">
        <v>425</v>
      </c>
      <c r="W7" s="70"/>
      <c r="X7" s="175" t="str">
        <f>+U7</f>
        <v>-</v>
      </c>
      <c r="Y7" s="156" t="s">
        <v>226</v>
      </c>
      <c r="Z7" s="25" t="str">
        <f>IFERROR((P7*100%)/$I$7,"-")</f>
        <v>-</v>
      </c>
      <c r="AA7" s="25" t="str">
        <f>IFERROR((T7*100%)/$I$7,"-")</f>
        <v>-</v>
      </c>
      <c r="AB7" s="25" t="str">
        <f>IFERROR((X7*100%)/$I$7,"-")</f>
        <v>-</v>
      </c>
      <c r="AC7" s="157" t="str">
        <f>IFERROR(AVERAGE(Y7:AB7),"-")</f>
        <v>-</v>
      </c>
      <c r="AD7" s="161"/>
      <c r="AE7" s="33"/>
      <c r="AF7" s="34"/>
      <c r="AG7" s="162"/>
    </row>
    <row r="8" spans="1:33" ht="26.25" thickBot="1" x14ac:dyDescent="0.3">
      <c r="A8" s="629" t="s">
        <v>293</v>
      </c>
      <c r="B8" s="630"/>
      <c r="C8" s="630"/>
      <c r="D8" s="630"/>
      <c r="E8" s="630"/>
      <c r="F8" s="630"/>
      <c r="G8" s="630"/>
      <c r="H8" s="630"/>
      <c r="I8" s="630"/>
      <c r="J8" s="631"/>
      <c r="K8" s="631"/>
      <c r="L8" s="632"/>
      <c r="M8" s="178" t="str">
        <f>+IFERROR(AVERAGE(M7:M7),".")</f>
        <v>.</v>
      </c>
      <c r="N8" s="139"/>
      <c r="O8" s="310"/>
      <c r="P8" s="728" t="str">
        <f>IFERROR(AVERAGE(P7:P7),"-")</f>
        <v>-</v>
      </c>
      <c r="Q8" s="178" t="str">
        <f>+IFERROR(AVERAGE(Q7:Q7),".")</f>
        <v>.</v>
      </c>
      <c r="R8" s="182"/>
      <c r="S8" s="122"/>
      <c r="T8" s="728" t="str">
        <f>IFERROR(AVERAGE(T7:T7),"-")</f>
        <v>-</v>
      </c>
      <c r="U8" s="178" t="str">
        <f>+IFERROR(AVERAGE(U7:U7),".")</f>
        <v>.</v>
      </c>
      <c r="V8" s="182"/>
      <c r="W8" s="122"/>
      <c r="X8" s="728" t="str">
        <f t="shared" ref="X8:AC8" si="0">IFERROR(AVERAGE(X7:X7),"-")</f>
        <v>-</v>
      </c>
      <c r="Y8" s="170" t="str">
        <f t="shared" si="0"/>
        <v>-</v>
      </c>
      <c r="Z8" s="171" t="str">
        <f t="shared" si="0"/>
        <v>-</v>
      </c>
      <c r="AA8" s="171" t="str">
        <f t="shared" si="0"/>
        <v>-</v>
      </c>
      <c r="AB8" s="56" t="str">
        <f t="shared" si="0"/>
        <v>-</v>
      </c>
      <c r="AC8" s="695" t="str">
        <f t="shared" si="0"/>
        <v>-</v>
      </c>
      <c r="AD8" s="165"/>
      <c r="AE8" s="166"/>
      <c r="AF8" s="167"/>
      <c r="AG8" s="168"/>
    </row>
    <row r="9" spans="1:33" ht="27" thickBot="1" x14ac:dyDescent="0.3">
      <c r="A9" s="28"/>
      <c r="B9" s="28"/>
      <c r="C9" s="28"/>
      <c r="D9" s="28"/>
      <c r="E9" s="28"/>
      <c r="F9" s="36"/>
      <c r="G9" s="28"/>
      <c r="H9" s="28"/>
      <c r="I9" s="28"/>
      <c r="J9" s="28"/>
      <c r="K9" s="28"/>
      <c r="L9" s="28"/>
      <c r="M9" s="181"/>
      <c r="N9" s="180"/>
      <c r="O9" s="145" t="s">
        <v>424</v>
      </c>
      <c r="P9" s="729"/>
      <c r="Q9" s="179"/>
      <c r="R9" s="180"/>
      <c r="S9" s="145" t="s">
        <v>296</v>
      </c>
      <c r="T9" s="729"/>
      <c r="U9" s="179"/>
      <c r="V9" s="180"/>
      <c r="W9" s="145" t="s">
        <v>478</v>
      </c>
      <c r="X9" s="729"/>
      <c r="Y9" s="172"/>
      <c r="Z9" s="173"/>
      <c r="AA9" s="174"/>
      <c r="AB9" s="158" t="s">
        <v>294</v>
      </c>
      <c r="AC9" s="696"/>
      <c r="AD9" s="28"/>
      <c r="AE9" s="28"/>
      <c r="AF9" s="28"/>
      <c r="AG9" s="28"/>
    </row>
  </sheetData>
  <mergeCells count="35">
    <mergeCell ref="AC8:AC9"/>
    <mergeCell ref="A8:L8"/>
    <mergeCell ref="P8:P9"/>
    <mergeCell ref="T8:T9"/>
    <mergeCell ref="X8:X9"/>
    <mergeCell ref="AE1:AG2"/>
    <mergeCell ref="A2:B3"/>
    <mergeCell ref="C2:AD3"/>
    <mergeCell ref="AE3:AG3"/>
    <mergeCell ref="L5:L6"/>
    <mergeCell ref="A4:D4"/>
    <mergeCell ref="A5:A6"/>
    <mergeCell ref="B5:B6"/>
    <mergeCell ref="C5:C6"/>
    <mergeCell ref="D5:D6"/>
    <mergeCell ref="E5:E6"/>
    <mergeCell ref="F5:F6"/>
    <mergeCell ref="AD5:AG5"/>
    <mergeCell ref="R5:R6"/>
    <mergeCell ref="G5:G6"/>
    <mergeCell ref="H5:H6"/>
    <mergeCell ref="O5:O6"/>
    <mergeCell ref="N5:N6"/>
    <mergeCell ref="A1:B1"/>
    <mergeCell ref="C1:AD1"/>
    <mergeCell ref="I5:I6"/>
    <mergeCell ref="S5:S6"/>
    <mergeCell ref="V5:V6"/>
    <mergeCell ref="W5:W6"/>
    <mergeCell ref="Y5:AC5"/>
    <mergeCell ref="P5:P6"/>
    <mergeCell ref="T5:T6"/>
    <mergeCell ref="X5:X6"/>
    <mergeCell ref="J5:J6"/>
    <mergeCell ref="K5:K6"/>
  </mergeCells>
  <conditionalFormatting sqref="Y7:AC7 AC8">
    <cfRule type="cellIs" dxfId="5" priority="1" operator="lessThan">
      <formula>0.6</formula>
    </cfRule>
    <cfRule type="cellIs" dxfId="4" priority="2" operator="between">
      <formula>60%</formula>
      <formula>79%</formula>
    </cfRule>
    <cfRule type="cellIs" dxfId="3" priority="3" operator="between">
      <formula>80%</formula>
      <formula>100%</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AG9"/>
  <sheetViews>
    <sheetView topLeftCell="D1" zoomScale="70" zoomScaleNormal="70" workbookViewId="0">
      <selection activeCell="N7" sqref="N7:O7"/>
    </sheetView>
  </sheetViews>
  <sheetFormatPr baseColWidth="10" defaultRowHeight="15" x14ac:dyDescent="0.25"/>
  <cols>
    <col min="1" max="1" width="21.42578125" customWidth="1"/>
    <col min="2" max="2" width="29.140625" customWidth="1"/>
    <col min="3" max="3" width="38.7109375" customWidth="1"/>
    <col min="4" max="4" width="31" customWidth="1"/>
    <col min="5" max="5" width="20.7109375" customWidth="1"/>
    <col min="6" max="6" width="13.28515625" customWidth="1"/>
    <col min="7" max="7" width="20" customWidth="1"/>
    <col min="8" max="8" width="25.28515625" customWidth="1"/>
    <col min="9" max="11" width="14.42578125" customWidth="1"/>
    <col min="12" max="12" width="13.7109375" customWidth="1"/>
    <col min="13" max="13" width="19.42578125" customWidth="1"/>
    <col min="14" max="14" width="33.28515625" customWidth="1"/>
    <col min="15" max="15" width="35.42578125" customWidth="1"/>
    <col min="16" max="16" width="26.7109375" customWidth="1"/>
    <col min="17" max="17" width="19.42578125" hidden="1" customWidth="1"/>
    <col min="18" max="19" width="33.28515625" hidden="1" customWidth="1"/>
    <col min="20" max="20" width="24.85546875" hidden="1" customWidth="1"/>
    <col min="21" max="21" width="19.42578125" hidden="1" customWidth="1"/>
    <col min="22" max="23" width="33.28515625" hidden="1" customWidth="1"/>
    <col min="24" max="24" width="28.42578125" hidden="1" customWidth="1"/>
    <col min="25" max="29" width="17.7109375" customWidth="1"/>
    <col min="30" max="33" width="26.5703125" customWidth="1"/>
  </cols>
  <sheetData>
    <row r="1" spans="1:33" ht="75.75" customHeight="1" x14ac:dyDescent="0.25">
      <c r="A1" s="568" t="s">
        <v>192</v>
      </c>
      <c r="B1" s="568"/>
      <c r="C1" s="568" t="s">
        <v>0</v>
      </c>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77"/>
      <c r="AF1" s="577"/>
      <c r="AG1" s="577"/>
    </row>
    <row r="2" spans="1:33" ht="41.25" customHeight="1" x14ac:dyDescent="0.25">
      <c r="A2" s="568" t="s">
        <v>608</v>
      </c>
      <c r="B2" s="568"/>
      <c r="C2" s="568" t="s">
        <v>342</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7"/>
      <c r="AF2" s="577"/>
      <c r="AG2" s="577"/>
    </row>
    <row r="3" spans="1:33" ht="41.25" customHeight="1" x14ac:dyDescent="0.25">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78" t="s">
        <v>609</v>
      </c>
      <c r="AF3" s="578"/>
      <c r="AG3" s="578"/>
    </row>
    <row r="4" spans="1:33" ht="15.75" thickBot="1" x14ac:dyDescent="0.3">
      <c r="A4" s="572" t="s">
        <v>193</v>
      </c>
      <c r="B4" s="572"/>
      <c r="C4" s="572"/>
      <c r="D4" s="572"/>
      <c r="E4" s="28"/>
      <c r="F4" s="36"/>
      <c r="G4" s="28"/>
      <c r="H4" s="28"/>
      <c r="I4" s="28"/>
      <c r="J4" s="28"/>
      <c r="K4" s="28"/>
      <c r="L4" s="28"/>
      <c r="M4" s="54"/>
      <c r="N4" s="28"/>
      <c r="O4" s="28"/>
      <c r="P4" s="28"/>
      <c r="Q4" s="54"/>
      <c r="R4" s="28"/>
      <c r="S4" s="28"/>
      <c r="T4" s="28"/>
      <c r="U4" s="54"/>
      <c r="V4" s="28"/>
      <c r="W4" s="28"/>
      <c r="X4" s="28"/>
      <c r="Y4" s="28"/>
      <c r="Z4" s="28"/>
      <c r="AA4" s="28"/>
      <c r="AB4" s="28"/>
      <c r="AC4" s="28"/>
      <c r="AD4" s="28"/>
      <c r="AE4" s="28"/>
      <c r="AF4" s="28"/>
      <c r="AG4" s="28"/>
    </row>
    <row r="5" spans="1:33" ht="57" customHeight="1" x14ac:dyDescent="0.25">
      <c r="A5" s="583" t="s">
        <v>1</v>
      </c>
      <c r="B5" s="575" t="s">
        <v>3</v>
      </c>
      <c r="C5" s="575" t="s">
        <v>194</v>
      </c>
      <c r="D5" s="575" t="s">
        <v>195</v>
      </c>
      <c r="E5" s="575" t="s">
        <v>196</v>
      </c>
      <c r="F5" s="581" t="s">
        <v>231</v>
      </c>
      <c r="G5" s="575" t="s">
        <v>228</v>
      </c>
      <c r="H5" s="575" t="s">
        <v>227</v>
      </c>
      <c r="I5" s="575" t="s">
        <v>8</v>
      </c>
      <c r="J5" s="575" t="s">
        <v>481</v>
      </c>
      <c r="K5" s="575" t="s">
        <v>501</v>
      </c>
      <c r="L5" s="579" t="s">
        <v>9</v>
      </c>
      <c r="M5" s="177" t="s">
        <v>336</v>
      </c>
      <c r="N5" s="655" t="s">
        <v>414</v>
      </c>
      <c r="O5" s="655" t="s">
        <v>416</v>
      </c>
      <c r="P5" s="563" t="s">
        <v>474</v>
      </c>
      <c r="Q5" s="177" t="s">
        <v>336</v>
      </c>
      <c r="R5" s="655" t="s">
        <v>414</v>
      </c>
      <c r="S5" s="655" t="s">
        <v>416</v>
      </c>
      <c r="T5" s="563" t="s">
        <v>480</v>
      </c>
      <c r="U5" s="177" t="s">
        <v>336</v>
      </c>
      <c r="V5" s="655" t="s">
        <v>414</v>
      </c>
      <c r="W5" s="655" t="s">
        <v>416</v>
      </c>
      <c r="X5" s="563" t="s">
        <v>479</v>
      </c>
      <c r="Y5" s="626" t="s">
        <v>11</v>
      </c>
      <c r="Z5" s="627"/>
      <c r="AA5" s="627"/>
      <c r="AB5" s="627"/>
      <c r="AC5" s="628"/>
      <c r="AD5" s="569" t="s">
        <v>197</v>
      </c>
      <c r="AE5" s="570"/>
      <c r="AF5" s="570"/>
      <c r="AG5" s="571"/>
    </row>
    <row r="6" spans="1:33" ht="57" customHeight="1" x14ac:dyDescent="0.25">
      <c r="A6" s="584"/>
      <c r="B6" s="514"/>
      <c r="C6" s="514"/>
      <c r="D6" s="514"/>
      <c r="E6" s="514"/>
      <c r="F6" s="582"/>
      <c r="G6" s="514"/>
      <c r="H6" s="514"/>
      <c r="I6" s="514"/>
      <c r="J6" s="514"/>
      <c r="K6" s="514"/>
      <c r="L6" s="580"/>
      <c r="M6" s="141" t="s">
        <v>298</v>
      </c>
      <c r="N6" s="656"/>
      <c r="O6" s="656"/>
      <c r="P6" s="564"/>
      <c r="Q6" s="141" t="s">
        <v>287</v>
      </c>
      <c r="R6" s="656"/>
      <c r="S6" s="656"/>
      <c r="T6" s="564"/>
      <c r="U6" s="141" t="s">
        <v>312</v>
      </c>
      <c r="V6" s="656"/>
      <c r="W6" s="656"/>
      <c r="X6" s="564"/>
      <c r="Y6" s="154" t="s">
        <v>198</v>
      </c>
      <c r="Z6" s="5" t="s">
        <v>199</v>
      </c>
      <c r="AA6" s="5" t="s">
        <v>200</v>
      </c>
      <c r="AB6" s="5" t="s">
        <v>201</v>
      </c>
      <c r="AC6" s="155" t="s">
        <v>20</v>
      </c>
      <c r="AD6" s="159" t="s">
        <v>202</v>
      </c>
      <c r="AE6" s="31" t="s">
        <v>203</v>
      </c>
      <c r="AF6" s="31" t="s">
        <v>204</v>
      </c>
      <c r="AG6" s="160" t="s">
        <v>205</v>
      </c>
    </row>
    <row r="7" spans="1:33" ht="150.75" customHeight="1" x14ac:dyDescent="0.25">
      <c r="A7" s="280" t="s">
        <v>167</v>
      </c>
      <c r="B7" s="279" t="s">
        <v>329</v>
      </c>
      <c r="C7" s="279" t="s">
        <v>330</v>
      </c>
      <c r="D7" s="279" t="s">
        <v>331</v>
      </c>
      <c r="E7" s="279" t="s">
        <v>223</v>
      </c>
      <c r="F7" s="284">
        <v>1</v>
      </c>
      <c r="G7" s="136" t="s">
        <v>339</v>
      </c>
      <c r="H7" s="136" t="s">
        <v>340</v>
      </c>
      <c r="I7" s="73">
        <v>1</v>
      </c>
      <c r="J7" s="201" t="s">
        <v>483</v>
      </c>
      <c r="K7" s="311" t="s">
        <v>670</v>
      </c>
      <c r="L7" s="183" t="s">
        <v>174</v>
      </c>
      <c r="M7" s="331">
        <v>1</v>
      </c>
      <c r="N7" s="69" t="s">
        <v>415</v>
      </c>
      <c r="O7" s="323" t="s">
        <v>653</v>
      </c>
      <c r="P7" s="330">
        <f>+M7</f>
        <v>1</v>
      </c>
      <c r="Q7" s="150" t="s">
        <v>421</v>
      </c>
      <c r="R7" s="69" t="s">
        <v>415</v>
      </c>
      <c r="S7" s="69"/>
      <c r="T7" s="190" t="str">
        <f>+Q7</f>
        <v>-</v>
      </c>
      <c r="U7" s="150" t="s">
        <v>421</v>
      </c>
      <c r="V7" s="69" t="s">
        <v>415</v>
      </c>
      <c r="W7" s="69"/>
      <c r="X7" s="190" t="str">
        <f>+U7</f>
        <v>-</v>
      </c>
      <c r="Y7" s="156" t="s">
        <v>226</v>
      </c>
      <c r="Z7" s="25">
        <f>IFERROR((P7*100%)/$I$7,"-")</f>
        <v>1</v>
      </c>
      <c r="AA7" s="25" t="str">
        <f>IFERROR((T7*100%)/$I$7,"-")</f>
        <v>-</v>
      </c>
      <c r="AB7" s="25" t="str">
        <f>IFERROR((X7*100%)/$I$7,"-")</f>
        <v>-</v>
      </c>
      <c r="AC7" s="157">
        <f>IFERROR(AVERAGE(Y7:AB7),"-")</f>
        <v>1</v>
      </c>
      <c r="AD7" s="161"/>
      <c r="AE7" s="33"/>
      <c r="AF7" s="34"/>
      <c r="AG7" s="162"/>
    </row>
    <row r="8" spans="1:33" ht="26.25" thickBot="1" x14ac:dyDescent="0.3">
      <c r="A8" s="629" t="s">
        <v>293</v>
      </c>
      <c r="B8" s="630"/>
      <c r="C8" s="630"/>
      <c r="D8" s="630"/>
      <c r="E8" s="630"/>
      <c r="F8" s="630"/>
      <c r="G8" s="630"/>
      <c r="H8" s="630"/>
      <c r="I8" s="630"/>
      <c r="J8" s="631"/>
      <c r="K8" s="631"/>
      <c r="L8" s="632"/>
      <c r="M8" s="332">
        <f>+IFERROR(AVERAGE(M7:M7),"-")</f>
        <v>1</v>
      </c>
      <c r="N8" s="182"/>
      <c r="O8" s="322"/>
      <c r="P8" s="746">
        <f>IFERROR(AVERAGE(P7:P7),"-")</f>
        <v>1</v>
      </c>
      <c r="Q8" s="191" t="str">
        <f>+IFERROR(AVERAGE(Q7:Q7),"-")</f>
        <v>-</v>
      </c>
      <c r="R8" s="182"/>
      <c r="S8" s="121"/>
      <c r="T8" s="728" t="str">
        <f>IFERROR(AVERAGE(Q7:Q7),"-")</f>
        <v>-</v>
      </c>
      <c r="U8" s="191" t="str">
        <f>+IFERROR(AVERAGE(U7:U7),"-")</f>
        <v>-</v>
      </c>
      <c r="V8" s="182"/>
      <c r="W8" s="121"/>
      <c r="X8" s="744" t="str">
        <f t="shared" ref="X8:AC8" si="0">IFERROR(AVERAGE(X7:X7),"-")</f>
        <v>-</v>
      </c>
      <c r="Y8" s="170" t="str">
        <f t="shared" si="0"/>
        <v>-</v>
      </c>
      <c r="Z8" s="171">
        <f t="shared" si="0"/>
        <v>1</v>
      </c>
      <c r="AA8" s="171" t="str">
        <f t="shared" si="0"/>
        <v>-</v>
      </c>
      <c r="AB8" s="56" t="str">
        <f t="shared" si="0"/>
        <v>-</v>
      </c>
      <c r="AC8" s="695">
        <f t="shared" si="0"/>
        <v>1</v>
      </c>
      <c r="AD8" s="165"/>
      <c r="AE8" s="166"/>
      <c r="AF8" s="167"/>
      <c r="AG8" s="168"/>
    </row>
    <row r="9" spans="1:33" ht="27" thickBot="1" x14ac:dyDescent="0.3">
      <c r="A9" s="28"/>
      <c r="B9" s="28"/>
      <c r="C9" s="28"/>
      <c r="D9" s="28"/>
      <c r="E9" s="28"/>
      <c r="F9" s="36"/>
      <c r="G9" s="28"/>
      <c r="H9" s="28"/>
      <c r="I9" s="28"/>
      <c r="J9" s="28"/>
      <c r="K9" s="28"/>
      <c r="L9" s="28"/>
      <c r="M9" s="181"/>
      <c r="N9" s="180"/>
      <c r="O9" s="335" t="s">
        <v>418</v>
      </c>
      <c r="P9" s="747"/>
      <c r="Q9" s="179"/>
      <c r="R9" s="180"/>
      <c r="S9" s="145" t="s">
        <v>422</v>
      </c>
      <c r="T9" s="729"/>
      <c r="U9" s="179"/>
      <c r="V9" s="180"/>
      <c r="W9" s="145" t="s">
        <v>423</v>
      </c>
      <c r="X9" s="745"/>
      <c r="Y9" s="172"/>
      <c r="Z9" s="173"/>
      <c r="AA9" s="174"/>
      <c r="AB9" s="158" t="s">
        <v>294</v>
      </c>
      <c r="AC9" s="696"/>
      <c r="AD9" s="28"/>
      <c r="AE9" s="28"/>
      <c r="AF9" s="28"/>
      <c r="AG9" s="28"/>
    </row>
  </sheetData>
  <mergeCells count="35">
    <mergeCell ref="V5:V6"/>
    <mergeCell ref="G5:G6"/>
    <mergeCell ref="H5:H6"/>
    <mergeCell ref="I5:I6"/>
    <mergeCell ref="O5:O6"/>
    <mergeCell ref="N5:N6"/>
    <mergeCell ref="L5:L6"/>
    <mergeCell ref="P5:P6"/>
    <mergeCell ref="T5:T6"/>
    <mergeCell ref="J5:J6"/>
    <mergeCell ref="K5:K6"/>
    <mergeCell ref="A8:L8"/>
    <mergeCell ref="P8:P9"/>
    <mergeCell ref="T8:T9"/>
    <mergeCell ref="R5:R6"/>
    <mergeCell ref="S5:S6"/>
    <mergeCell ref="E5:E6"/>
    <mergeCell ref="F5:F6"/>
    <mergeCell ref="W5:W6"/>
    <mergeCell ref="Y5:AC5"/>
    <mergeCell ref="AD5:AG5"/>
    <mergeCell ref="AC8:AC9"/>
    <mergeCell ref="X8:X9"/>
    <mergeCell ref="X5:X6"/>
    <mergeCell ref="A1:B1"/>
    <mergeCell ref="C1:AD1"/>
    <mergeCell ref="AE1:AG2"/>
    <mergeCell ref="A2:B3"/>
    <mergeCell ref="C2:AD3"/>
    <mergeCell ref="AE3:AG3"/>
    <mergeCell ref="A4:D4"/>
    <mergeCell ref="A5:A6"/>
    <mergeCell ref="B5:B6"/>
    <mergeCell ref="C5:C6"/>
    <mergeCell ref="D5:D6"/>
  </mergeCells>
  <conditionalFormatting sqref="Y7:AC7 AC8">
    <cfRule type="cellIs" dxfId="2" priority="1" operator="lessThan">
      <formula>0.6</formula>
    </cfRule>
    <cfRule type="cellIs" dxfId="1" priority="2" operator="between">
      <formula>60%</formula>
      <formula>79%</formula>
    </cfRule>
    <cfRule type="cellIs" dxfId="0" priority="3" operator="between">
      <formula>80%</formula>
      <formula>100%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POA INST</vt:lpstr>
      <vt:lpstr>Instructivo Evaluación</vt:lpstr>
      <vt:lpstr>PLAN DESARROLLO</vt:lpstr>
      <vt:lpstr>PROGRAMAS ESTRATEGICOS</vt:lpstr>
      <vt:lpstr>Despliegue POA</vt:lpstr>
      <vt:lpstr>Programa Humanizacion</vt:lpstr>
      <vt:lpstr>Modelo Atención</vt:lpstr>
      <vt:lpstr>Acreditación</vt:lpstr>
      <vt:lpstr>Seguridad Paciente</vt:lpstr>
      <vt:lpstr>Alta Complejidad</vt:lpstr>
      <vt:lpstr>PEGIF</vt:lpstr>
      <vt:lpstr>Costos</vt:lpstr>
      <vt:lpstr>Prevención Daño Ant</vt:lpstr>
      <vt:lpstr>MIPG</vt:lpstr>
      <vt:lpstr>Integración SI</vt:lpstr>
      <vt:lpstr>Construcción-Adecuación</vt:lpstr>
      <vt:lpstr>Gestión Tecnología</vt:lpstr>
      <vt:lpstr>PEGITH</vt:lpstr>
      <vt:lpstr>ISO 140012015</vt:lpstr>
      <vt:lpstr>ISO 450012018</vt:lpstr>
      <vt:lpstr>ISO 90012015</vt:lpstr>
      <vt:lpstr>BPE - BPM</vt:lpstr>
      <vt:lpstr>BPM</vt:lpstr>
      <vt:lpstr>Gestion Investigación</vt:lpstr>
      <vt:lpstr>Hoja2</vt:lpstr>
      <vt:lpstr>Líneas Investigación</vt:lpstr>
      <vt:lpstr>Congresos</vt:lpstr>
      <vt:lpstr>Alianzas Estratégicas</vt:lpstr>
      <vt:lpstr>'Despliegue POA'!Área_de_impresión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CALIDAD04 CAL04. CALIDAD</cp:lastModifiedBy>
  <cp:lastPrinted>2021-06-02T23:00:48Z</cp:lastPrinted>
  <dcterms:created xsi:type="dcterms:W3CDTF">2021-05-11T21:38:35Z</dcterms:created>
  <dcterms:modified xsi:type="dcterms:W3CDTF">2023-07-05T13:33:00Z</dcterms:modified>
</cp:coreProperties>
</file>